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DieseArbeitsmappe"/>
  <mc:AlternateContent xmlns:mc="http://schemas.openxmlformats.org/markup-compatibility/2006">
    <mc:Choice Requires="x15">
      <x15ac:absPath xmlns:x15ac="http://schemas.microsoft.com/office/spreadsheetml/2010/11/ac" url="S:\060\Internet, Infonet\Internet\Lernplattform\3_Vertragliche Grundlagen Bardeleben\"/>
    </mc:Choice>
  </mc:AlternateContent>
  <xr:revisionPtr revIDLastSave="0" documentId="8_{110DBD36-E379-405C-A369-2273FFE1BA40}" xr6:coauthVersionLast="47" xr6:coauthVersionMax="47" xr10:uidLastSave="{00000000-0000-0000-0000-000000000000}"/>
  <workbookProtection workbookAlgorithmName="SHA-512" workbookHashValue="tU6EEXfMYxbMZjIVhxO6OtjhfTsMxXLMGJuXeJ3ecZ9NbuNe994WiS5Oeaxfj4S0FbhQtze1YK/XpshimLFJwQ==" workbookSaltValue="jXREMIGzvnpHZ+H69zG88g==" workbookSpinCount="100000" lockStructure="1"/>
  <bookViews>
    <workbookView xWindow="-108" yWindow="-108" windowWidth="23256" windowHeight="14016" tabRatio="601" xr2:uid="{00000000-000D-0000-FFFF-FFFF00000000}"/>
  </bookViews>
  <sheets>
    <sheet name="Kalkulationsblatt" sheetId="1" r:id="rId1"/>
    <sheet name="PK Zusammenfassung" sheetId="4" r:id="rId2"/>
    <sheet name="PK AN-Brutto qA" sheetId="5" r:id="rId3"/>
    <sheet name="PK AN-Brutto kA" sheetId="11" r:id="rId4"/>
    <sheet name="PK Zeitzuschläge qA" sheetId="6" r:id="rId5"/>
    <sheet name="PK Zeitzuschläge kA" sheetId="12" r:id="rId6"/>
    <sheet name="PK AG_Brutto" sheetId="9" r:id="rId7"/>
    <sheet name="Liste besondere Wohnformen" sheetId="10" r:id="rId8"/>
    <sheet name="Hauswirtschaftspauschale" sheetId="2" r:id="rId9"/>
    <sheet name="Bereitschaftspauschale" sheetId="3" r:id="rId10"/>
    <sheet name="Sachkosten" sheetId="13" r:id="rId11"/>
    <sheet name="Externer Wirtschaftsdienst" sheetId="15" r:id="rId12"/>
    <sheet name="Investitionskostenaufstellung" sheetId="14" r:id="rId13"/>
    <sheet name="ergänzende Hinweise" sheetId="16" r:id="rId14"/>
  </sheets>
  <definedNames>
    <definedName name="_xlnm.Print_Area" localSheetId="11">'Externer Wirtschaftsdienst'!$A$1:$G$35</definedName>
    <definedName name="Print_Area" localSheetId="11">'Externer Wirtschaftsdienst'!$A$1:$G$35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6" i="3" l="1"/>
  <c r="Q46" i="3"/>
  <c r="R45" i="3"/>
  <c r="Q45" i="3"/>
  <c r="R44" i="3"/>
  <c r="Q44"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R8" i="3"/>
  <c r="Q8" i="3"/>
  <c r="A45" i="10" l="1"/>
  <c r="A44" i="10"/>
  <c r="A43" i="10"/>
  <c r="A42" i="10"/>
  <c r="A41" i="10"/>
  <c r="L46" i="3"/>
  <c r="J46" i="3"/>
  <c r="H46" i="3"/>
  <c r="F46" i="3"/>
  <c r="D46" i="3"/>
  <c r="B46" i="3"/>
  <c r="A46" i="3"/>
  <c r="L45" i="3"/>
  <c r="J45" i="3"/>
  <c r="F45" i="3"/>
  <c r="H45" i="3" s="1"/>
  <c r="D45" i="3"/>
  <c r="B45" i="3"/>
  <c r="A45" i="3"/>
  <c r="L44" i="3"/>
  <c r="J44" i="3"/>
  <c r="F44" i="3"/>
  <c r="H44" i="3" s="1"/>
  <c r="D44" i="3"/>
  <c r="B44" i="3"/>
  <c r="A44" i="3"/>
  <c r="L43" i="3"/>
  <c r="J43" i="3"/>
  <c r="F43" i="3"/>
  <c r="H43" i="3" s="1"/>
  <c r="D43" i="3"/>
  <c r="B43" i="3"/>
  <c r="A43" i="3"/>
  <c r="L42" i="3"/>
  <c r="J42" i="3"/>
  <c r="F42" i="3"/>
  <c r="H42" i="3" s="1"/>
  <c r="D42" i="3"/>
  <c r="B42" i="3"/>
  <c r="A42" i="3"/>
  <c r="H44" i="2"/>
  <c r="F44" i="2"/>
  <c r="G44" i="2" s="1"/>
  <c r="B44" i="2"/>
  <c r="A44" i="2"/>
  <c r="H43" i="2"/>
  <c r="F43" i="2"/>
  <c r="G43" i="2" s="1"/>
  <c r="B43" i="2"/>
  <c r="A43" i="2"/>
  <c r="H42" i="2"/>
  <c r="F42" i="2"/>
  <c r="G42" i="2" s="1"/>
  <c r="B42" i="2"/>
  <c r="A42" i="2"/>
  <c r="H41" i="2"/>
  <c r="F41" i="2"/>
  <c r="G41" i="2" s="1"/>
  <c r="B41" i="2"/>
  <c r="A41" i="2"/>
  <c r="H40" i="2"/>
  <c r="F40" i="2"/>
  <c r="G40" i="2" s="1"/>
  <c r="B40" i="2"/>
  <c r="A40" i="2"/>
  <c r="O6" i="4"/>
  <c r="N6" i="4"/>
  <c r="M6" i="4"/>
  <c r="L6" i="4"/>
  <c r="L41" i="3"/>
  <c r="J41" i="3"/>
  <c r="F41" i="3"/>
  <c r="H41" i="3" s="1"/>
  <c r="D41" i="3"/>
  <c r="B41" i="3"/>
  <c r="A41" i="3"/>
  <c r="L40" i="3"/>
  <c r="J40" i="3"/>
  <c r="F40" i="3"/>
  <c r="H40" i="3" s="1"/>
  <c r="D40" i="3"/>
  <c r="B40" i="3"/>
  <c r="A40" i="3"/>
  <c r="L39" i="3"/>
  <c r="J39" i="3"/>
  <c r="H39" i="3"/>
  <c r="F39" i="3"/>
  <c r="D39" i="3"/>
  <c r="P39" i="3" s="1"/>
  <c r="B39" i="3"/>
  <c r="A39" i="3"/>
  <c r="L38" i="3"/>
  <c r="J38" i="3"/>
  <c r="H38" i="3"/>
  <c r="F38" i="3"/>
  <c r="D38" i="3"/>
  <c r="P38" i="3" s="1"/>
  <c r="B38" i="3"/>
  <c r="A38" i="3"/>
  <c r="L37" i="3"/>
  <c r="J37" i="3"/>
  <c r="H37" i="3"/>
  <c r="F37" i="3"/>
  <c r="D37" i="3"/>
  <c r="P37" i="3" s="1"/>
  <c r="B37" i="3"/>
  <c r="A37" i="3"/>
  <c r="L36" i="3"/>
  <c r="J36" i="3"/>
  <c r="H36" i="3"/>
  <c r="F36" i="3"/>
  <c r="D36" i="3"/>
  <c r="P36" i="3" s="1"/>
  <c r="B36" i="3"/>
  <c r="A36" i="3"/>
  <c r="O35" i="3"/>
  <c r="N35" i="3"/>
  <c r="M35" i="3"/>
  <c r="L35" i="3"/>
  <c r="J35" i="3"/>
  <c r="H35" i="3"/>
  <c r="F35" i="3"/>
  <c r="D35" i="3"/>
  <c r="P35" i="3" s="1"/>
  <c r="B35" i="3"/>
  <c r="A35" i="3"/>
  <c r="O34" i="3"/>
  <c r="L34" i="3"/>
  <c r="J34" i="3"/>
  <c r="H34" i="3"/>
  <c r="F34" i="3"/>
  <c r="D34" i="3"/>
  <c r="P34" i="3" s="1"/>
  <c r="B34" i="3"/>
  <c r="A34" i="3"/>
  <c r="L33" i="3"/>
  <c r="J33" i="3"/>
  <c r="H33" i="3"/>
  <c r="F33" i="3"/>
  <c r="D33" i="3"/>
  <c r="P33" i="3" s="1"/>
  <c r="B33" i="3"/>
  <c r="A33" i="3"/>
  <c r="L32" i="3"/>
  <c r="J32" i="3"/>
  <c r="H32" i="3"/>
  <c r="F32" i="3"/>
  <c r="D32" i="3"/>
  <c r="P32" i="3" s="1"/>
  <c r="B32" i="3"/>
  <c r="A32" i="3"/>
  <c r="H39" i="2"/>
  <c r="F39" i="2"/>
  <c r="G39" i="2" s="1"/>
  <c r="B39" i="2"/>
  <c r="A39" i="2"/>
  <c r="H38" i="2"/>
  <c r="F38" i="2"/>
  <c r="G38" i="2" s="1"/>
  <c r="B38" i="2"/>
  <c r="A38" i="2"/>
  <c r="I37" i="2"/>
  <c r="H37" i="2"/>
  <c r="F37" i="2"/>
  <c r="G37" i="2" s="1"/>
  <c r="B37" i="2"/>
  <c r="A37" i="2"/>
  <c r="I36" i="2"/>
  <c r="H36" i="2"/>
  <c r="F36" i="2"/>
  <c r="G36" i="2" s="1"/>
  <c r="B36" i="2"/>
  <c r="A36" i="2"/>
  <c r="I35" i="2"/>
  <c r="H35" i="2"/>
  <c r="F35" i="2"/>
  <c r="G35" i="2" s="1"/>
  <c r="B35" i="2"/>
  <c r="A35" i="2"/>
  <c r="I34" i="2"/>
  <c r="H34" i="2"/>
  <c r="F34" i="2"/>
  <c r="G34" i="2" s="1"/>
  <c r="B34" i="2"/>
  <c r="A34" i="2"/>
  <c r="I33" i="2"/>
  <c r="H33" i="2"/>
  <c r="F33" i="2"/>
  <c r="G33" i="2" s="1"/>
  <c r="B33" i="2"/>
  <c r="A33" i="2"/>
  <c r="I32" i="2"/>
  <c r="H32" i="2"/>
  <c r="F32" i="2"/>
  <c r="G32" i="2" s="1"/>
  <c r="B32" i="2"/>
  <c r="A32" i="2"/>
  <c r="I31" i="2"/>
  <c r="H31" i="2"/>
  <c r="F31" i="2"/>
  <c r="G31" i="2" s="1"/>
  <c r="B31" i="2"/>
  <c r="A31" i="2"/>
  <c r="I30" i="2"/>
  <c r="H30" i="2"/>
  <c r="F30" i="2"/>
  <c r="G30" i="2" s="1"/>
  <c r="B30" i="2"/>
  <c r="A30" i="2"/>
  <c r="A40" i="10"/>
  <c r="A39" i="10"/>
  <c r="A38" i="10"/>
  <c r="A37" i="10"/>
  <c r="A36" i="10"/>
  <c r="A35" i="10"/>
  <c r="A34" i="10"/>
  <c r="A33" i="10"/>
  <c r="A32" i="10"/>
  <c r="A31" i="10"/>
  <c r="U41" i="11"/>
  <c r="U40" i="11"/>
  <c r="U39" i="11"/>
  <c r="U38" i="11"/>
  <c r="U37" i="11"/>
  <c r="U36" i="11"/>
  <c r="U35" i="11"/>
  <c r="U34" i="11"/>
  <c r="U33" i="11"/>
  <c r="U32" i="11"/>
  <c r="U31" i="11"/>
  <c r="U30" i="11"/>
  <c r="U29" i="11"/>
  <c r="U28" i="11"/>
  <c r="U27" i="11"/>
  <c r="U26" i="11"/>
  <c r="U25" i="11"/>
  <c r="U24" i="11"/>
  <c r="U23" i="11"/>
  <c r="U22" i="11"/>
  <c r="U21" i="11"/>
  <c r="U20" i="11"/>
  <c r="U19" i="11"/>
  <c r="U18" i="11"/>
  <c r="U17" i="11"/>
  <c r="U16" i="11"/>
  <c r="U15" i="11"/>
  <c r="U14" i="11"/>
  <c r="U13" i="11"/>
  <c r="V55" i="5"/>
  <c r="V54" i="5"/>
  <c r="V53" i="5"/>
  <c r="V52" i="5"/>
  <c r="V51" i="5"/>
  <c r="V50" i="5"/>
  <c r="V49" i="5"/>
  <c r="V47" i="5"/>
  <c r="V41" i="5"/>
  <c r="V40" i="5"/>
  <c r="V39" i="5"/>
  <c r="V38" i="5"/>
  <c r="V37" i="5"/>
  <c r="V36" i="5"/>
  <c r="V35" i="5"/>
  <c r="V34" i="5"/>
  <c r="V33" i="5"/>
  <c r="V32" i="5"/>
  <c r="V31" i="5"/>
  <c r="V30" i="5"/>
  <c r="V29" i="5"/>
  <c r="V28" i="5"/>
  <c r="V27" i="5"/>
  <c r="V26" i="5"/>
  <c r="V25" i="5"/>
  <c r="V24" i="5"/>
  <c r="V23" i="5"/>
  <c r="V22" i="5"/>
  <c r="V21" i="5"/>
  <c r="V20" i="5"/>
  <c r="V19" i="5"/>
  <c r="V18" i="5"/>
  <c r="V17" i="5"/>
  <c r="V16" i="5"/>
  <c r="V15" i="5"/>
  <c r="V14" i="5"/>
  <c r="S41" i="11"/>
  <c r="S40" i="11"/>
  <c r="S39" i="11"/>
  <c r="S38" i="11"/>
  <c r="S37" i="11"/>
  <c r="S36" i="11"/>
  <c r="S35" i="11"/>
  <c r="S34" i="11"/>
  <c r="S33" i="11"/>
  <c r="S32" i="11"/>
  <c r="S31" i="11"/>
  <c r="S30" i="11"/>
  <c r="S29" i="11"/>
  <c r="S28" i="11"/>
  <c r="S27" i="11"/>
  <c r="S26" i="11"/>
  <c r="S25" i="11"/>
  <c r="S24" i="11"/>
  <c r="S23" i="11"/>
  <c r="S22" i="11"/>
  <c r="S21" i="11"/>
  <c r="S20" i="11"/>
  <c r="S19" i="11"/>
  <c r="S18" i="11"/>
  <c r="S17" i="11"/>
  <c r="S16" i="11"/>
  <c r="S15" i="11"/>
  <c r="S14" i="11"/>
  <c r="S13" i="11"/>
  <c r="T55" i="5"/>
  <c r="T54" i="5"/>
  <c r="T53" i="5"/>
  <c r="T52" i="5"/>
  <c r="T51" i="5"/>
  <c r="T50" i="5"/>
  <c r="T49"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L23" i="12"/>
  <c r="L22" i="12"/>
  <c r="L21" i="12"/>
  <c r="L20" i="12"/>
  <c r="L19" i="12"/>
  <c r="L18" i="12"/>
  <c r="L17" i="12"/>
  <c r="L16" i="12"/>
  <c r="L15" i="12"/>
  <c r="L14" i="12"/>
  <c r="L13" i="12"/>
  <c r="L12" i="12"/>
  <c r="L11" i="12"/>
  <c r="L10" i="12"/>
  <c r="L9" i="12"/>
  <c r="L8" i="12"/>
  <c r="L7" i="12"/>
  <c r="L6" i="12"/>
  <c r="L23" i="6"/>
  <c r="L22" i="6"/>
  <c r="L21" i="6"/>
  <c r="L20" i="6"/>
  <c r="L19" i="6"/>
  <c r="L18" i="6"/>
  <c r="L17" i="6"/>
  <c r="L16" i="6"/>
  <c r="L15" i="6"/>
  <c r="L14" i="6"/>
  <c r="L13" i="6"/>
  <c r="L12" i="6"/>
  <c r="I29" i="2"/>
  <c r="J29" i="2" s="1"/>
  <c r="I28" i="2"/>
  <c r="J28" i="2" s="1"/>
  <c r="I27" i="2"/>
  <c r="J27" i="2" s="1"/>
  <c r="I26" i="2"/>
  <c r="J26" i="2" s="1"/>
  <c r="I25" i="2"/>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I10" i="2"/>
  <c r="J10" i="2" s="1"/>
  <c r="I9" i="2"/>
  <c r="J9" i="2" s="1"/>
  <c r="I8" i="2"/>
  <c r="J8" i="2" s="1"/>
  <c r="I7" i="2"/>
  <c r="J7" i="2" s="1"/>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J35" i="2" l="1"/>
  <c r="D36" i="10" s="1"/>
  <c r="J37" i="2"/>
  <c r="D38" i="10" s="1"/>
  <c r="J34" i="2"/>
  <c r="D35" i="10" s="1"/>
  <c r="J31" i="2"/>
  <c r="D32" i="10" s="1"/>
  <c r="J32" i="2"/>
  <c r="D33" i="10" s="1"/>
  <c r="J36" i="2"/>
  <c r="D37" i="10" s="1"/>
  <c r="J33" i="2"/>
  <c r="D34" i="10" s="1"/>
  <c r="J30" i="2"/>
  <c r="D31" i="10" s="1"/>
  <c r="I40" i="2"/>
  <c r="I42" i="2"/>
  <c r="I44" i="2"/>
  <c r="I38" i="2"/>
  <c r="I41" i="2"/>
  <c r="I43" i="2"/>
  <c r="N45" i="3"/>
  <c r="P45" i="3" s="1"/>
  <c r="M40" i="3"/>
  <c r="O40" i="3" s="1"/>
  <c r="N40" i="3"/>
  <c r="P40" i="3" s="1"/>
  <c r="O45" i="3"/>
  <c r="M43" i="3"/>
  <c r="O43" i="3" s="1"/>
  <c r="Q43" i="3" s="1"/>
  <c r="N42" i="3"/>
  <c r="P42" i="3" s="1"/>
  <c r="M46" i="3"/>
  <c r="O46" i="3" s="1"/>
  <c r="N46" i="3"/>
  <c r="P46" i="3" s="1"/>
  <c r="M45" i="3"/>
  <c r="M44" i="3"/>
  <c r="O44" i="3" s="1"/>
  <c r="N44" i="3"/>
  <c r="P44" i="3" s="1"/>
  <c r="N43" i="3"/>
  <c r="P43" i="3" s="1"/>
  <c r="R43" i="3" s="1"/>
  <c r="M42" i="3"/>
  <c r="O42" i="3" s="1"/>
  <c r="S34" i="3"/>
  <c r="E33" i="10" s="1"/>
  <c r="S35" i="3"/>
  <c r="E34" i="10" s="1"/>
  <c r="I39" i="2"/>
  <c r="M41" i="3"/>
  <c r="O41" i="3" s="1"/>
  <c r="N41" i="3"/>
  <c r="P41" i="3" s="1"/>
  <c r="M39" i="3"/>
  <c r="N39" i="3"/>
  <c r="O39" i="3"/>
  <c r="S39" i="3" s="1"/>
  <c r="E38" i="10" s="1"/>
  <c r="M38" i="3"/>
  <c r="N38" i="3"/>
  <c r="O38" i="3"/>
  <c r="S38" i="3" s="1"/>
  <c r="E37" i="10" s="1"/>
  <c r="M37" i="3"/>
  <c r="N37" i="3"/>
  <c r="O37" i="3"/>
  <c r="S37" i="3" s="1"/>
  <c r="E36" i="10" s="1"/>
  <c r="M36" i="3"/>
  <c r="N36" i="3"/>
  <c r="O36" i="3"/>
  <c r="S36" i="3" s="1"/>
  <c r="E35" i="10" s="1"/>
  <c r="M34" i="3"/>
  <c r="N34" i="3"/>
  <c r="M33" i="3"/>
  <c r="N33" i="3"/>
  <c r="O33" i="3"/>
  <c r="S33" i="3" s="1"/>
  <c r="E32" i="10" s="1"/>
  <c r="M32" i="3"/>
  <c r="N32" i="3"/>
  <c r="O32" i="3"/>
  <c r="S32" i="3" s="1"/>
  <c r="E31" i="10" s="1"/>
  <c r="J5" i="15"/>
  <c r="J6" i="15" s="1"/>
  <c r="J7" i="15" s="1"/>
  <c r="J8" i="15" s="1"/>
  <c r="J9" i="15" s="1"/>
  <c r="J40" i="2" l="1"/>
  <c r="D41" i="10" s="1"/>
  <c r="J39" i="2"/>
  <c r="D40" i="10" s="1"/>
  <c r="J43" i="2"/>
  <c r="D44" i="10" s="1"/>
  <c r="J38" i="2"/>
  <c r="D39" i="10" s="1"/>
  <c r="J44" i="2"/>
  <c r="D45" i="10" s="1"/>
  <c r="J42" i="2"/>
  <c r="D43" i="10" s="1"/>
  <c r="J41" i="2"/>
  <c r="D42" i="10" s="1"/>
  <c r="S45" i="3"/>
  <c r="E44" i="10" s="1"/>
  <c r="S44" i="3"/>
  <c r="E43" i="10" s="1"/>
  <c r="S46" i="3"/>
  <c r="E45" i="10" s="1"/>
  <c r="S43" i="3"/>
  <c r="E42" i="10" s="1"/>
  <c r="S42" i="3"/>
  <c r="E41" i="10" s="1"/>
  <c r="S40" i="3"/>
  <c r="E39" i="10" s="1"/>
  <c r="S41" i="3"/>
  <c r="E40" i="10" s="1"/>
  <c r="A1" i="16"/>
  <c r="A1" i="14"/>
  <c r="B1" i="15" l="1"/>
  <c r="D23" i="12" l="1"/>
  <c r="D22" i="12"/>
  <c r="D21" i="12"/>
  <c r="D20" i="12"/>
  <c r="D19" i="12"/>
  <c r="D18" i="12"/>
  <c r="D17" i="12"/>
  <c r="D16" i="12"/>
  <c r="D15" i="12"/>
  <c r="D14" i="12"/>
  <c r="D13" i="12"/>
  <c r="D12" i="12"/>
  <c r="D11" i="12"/>
  <c r="D10" i="12"/>
  <c r="D9" i="12"/>
  <c r="D8" i="12"/>
  <c r="D7" i="12"/>
  <c r="D6" i="12"/>
  <c r="D5" i="12"/>
  <c r="D23" i="6"/>
  <c r="D22" i="6"/>
  <c r="D21" i="6"/>
  <c r="D20" i="6"/>
  <c r="D19" i="6"/>
  <c r="D18" i="6"/>
  <c r="D17" i="6"/>
  <c r="D16" i="6"/>
  <c r="D15" i="6"/>
  <c r="D14" i="6"/>
  <c r="D13" i="6"/>
  <c r="D5" i="6"/>
  <c r="D6" i="6"/>
  <c r="D7" i="6"/>
  <c r="D8" i="6"/>
  <c r="D9" i="6"/>
  <c r="D10" i="6"/>
  <c r="D11" i="6"/>
  <c r="D12" i="6"/>
  <c r="E23" i="12" l="1"/>
  <c r="E22" i="12"/>
  <c r="E21" i="12"/>
  <c r="E20" i="12"/>
  <c r="E19" i="12"/>
  <c r="E18" i="12"/>
  <c r="E17" i="12"/>
  <c r="E16" i="12"/>
  <c r="E15" i="12"/>
  <c r="E14" i="12"/>
  <c r="E13" i="12"/>
  <c r="E12" i="12"/>
  <c r="E11" i="12"/>
  <c r="E10" i="12"/>
  <c r="E9" i="12"/>
  <c r="E8" i="12"/>
  <c r="E7" i="12"/>
  <c r="E6" i="12"/>
  <c r="E5" i="12"/>
  <c r="E23" i="6"/>
  <c r="E22" i="6"/>
  <c r="E21" i="6"/>
  <c r="E20" i="6"/>
  <c r="E19" i="6"/>
  <c r="E18" i="6"/>
  <c r="E17" i="6"/>
  <c r="E16" i="6"/>
  <c r="E15" i="6"/>
  <c r="E14" i="6"/>
  <c r="E13" i="6"/>
  <c r="E12" i="6"/>
  <c r="E11" i="6"/>
  <c r="E10" i="6"/>
  <c r="E9" i="6"/>
  <c r="E8" i="6"/>
  <c r="E7" i="6"/>
  <c r="E6" i="6"/>
  <c r="E5" i="6"/>
  <c r="H100" i="4"/>
  <c r="D10" i="15" l="1"/>
  <c r="D9" i="15"/>
  <c r="D8" i="15"/>
  <c r="C33" i="15" l="1"/>
  <c r="C32" i="15"/>
  <c r="C34" i="15" s="1"/>
  <c r="H79" i="4" s="1"/>
  <c r="C11" i="15" l="1"/>
  <c r="D42" i="4" l="1"/>
  <c r="C42" i="4"/>
  <c r="D41" i="4"/>
  <c r="C41" i="4"/>
  <c r="D40" i="4"/>
  <c r="C40" i="4"/>
  <c r="D39" i="4"/>
  <c r="C39" i="4"/>
  <c r="D100" i="4"/>
  <c r="D99" i="4"/>
  <c r="D98" i="4"/>
  <c r="D97" i="4"/>
  <c r="D96" i="4"/>
  <c r="D95" i="4"/>
  <c r="D94" i="4"/>
  <c r="D93" i="4"/>
  <c r="D92" i="4"/>
  <c r="D91" i="4"/>
  <c r="D90" i="4"/>
  <c r="D89" i="4"/>
  <c r="H85" i="4" l="1"/>
  <c r="H43" i="4"/>
  <c r="B1" i="13" l="1"/>
  <c r="J79" i="4"/>
  <c r="J78" i="4"/>
  <c r="A79" i="4"/>
  <c r="A78" i="4"/>
  <c r="A77" i="4"/>
  <c r="C33" i="13"/>
  <c r="C20" i="15"/>
  <c r="C22" i="15" s="1"/>
  <c r="C32" i="13" s="1"/>
  <c r="C6" i="15"/>
  <c r="C21" i="15" l="1"/>
  <c r="C7" i="15"/>
  <c r="C13" i="15" s="1"/>
  <c r="C12" i="15" l="1"/>
  <c r="C31" i="13" s="1"/>
  <c r="C40" i="13" s="1"/>
  <c r="H77" i="4"/>
  <c r="C23" i="15"/>
  <c r="H78" i="4" s="1"/>
  <c r="J77" i="4"/>
  <c r="A84" i="4"/>
  <c r="D84" i="4"/>
  <c r="C84" i="4"/>
  <c r="D83" i="4"/>
  <c r="C83" i="4"/>
  <c r="D82" i="4"/>
  <c r="C82" i="4"/>
  <c r="D81" i="4"/>
  <c r="C81" i="4"/>
  <c r="D80" i="4"/>
  <c r="C80" i="4"/>
  <c r="H90" i="9" l="1"/>
  <c r="H89" i="9"/>
  <c r="H88" i="9"/>
  <c r="H87" i="9"/>
  <c r="H86" i="9"/>
  <c r="H85" i="9"/>
  <c r="H84" i="9"/>
  <c r="H83" i="9"/>
  <c r="H82" i="9"/>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A1" i="12" l="1"/>
  <c r="C56" i="13"/>
  <c r="C40" i="1" s="1"/>
  <c r="F25" i="14" l="1"/>
  <c r="C47" i="1" s="1"/>
  <c r="E25" i="14"/>
  <c r="C46" i="1" s="1"/>
  <c r="D25" i="14"/>
  <c r="C45" i="1" s="1"/>
  <c r="C25" i="14"/>
  <c r="C44" i="1" s="1"/>
  <c r="C45" i="13" l="1"/>
  <c r="C38" i="1" s="1"/>
  <c r="C50" i="13"/>
  <c r="C39" i="1" s="1"/>
  <c r="C37" i="1"/>
  <c r="H77" i="9" l="1"/>
  <c r="H76" i="9"/>
  <c r="H75" i="9"/>
  <c r="H74" i="9"/>
  <c r="H73" i="9"/>
  <c r="H72" i="9"/>
  <c r="H71" i="9"/>
  <c r="H70" i="9"/>
  <c r="A40" i="11"/>
  <c r="A41" i="11"/>
  <c r="G41" i="11"/>
  <c r="H41" i="11" s="1"/>
  <c r="G40" i="11"/>
  <c r="H40" i="11" s="1"/>
  <c r="A74" i="9" l="1"/>
  <c r="A81" i="4"/>
  <c r="A73" i="9"/>
  <c r="A80" i="4"/>
  <c r="A38" i="9"/>
  <c r="A37" i="9"/>
  <c r="H41" i="5"/>
  <c r="I41" i="5" s="1"/>
  <c r="H40" i="5"/>
  <c r="I40" i="5" s="1"/>
  <c r="B61" i="1" l="1"/>
  <c r="G59" i="6" l="1"/>
  <c r="F59" i="6"/>
  <c r="G58" i="6"/>
  <c r="F58" i="6"/>
  <c r="G57" i="6"/>
  <c r="F57" i="6"/>
  <c r="G56" i="6"/>
  <c r="F56"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59" i="12"/>
  <c r="F59" i="12"/>
  <c r="G58" i="12"/>
  <c r="F58" i="12"/>
  <c r="G57" i="12"/>
  <c r="F57" i="12"/>
  <c r="G56" i="12"/>
  <c r="F56" i="12"/>
  <c r="G55" i="12"/>
  <c r="F55" i="12"/>
  <c r="G54" i="12"/>
  <c r="F54" i="12"/>
  <c r="G53" i="12"/>
  <c r="F53" i="12"/>
  <c r="G52" i="12"/>
  <c r="F52" i="12"/>
  <c r="G51" i="12"/>
  <c r="F51" i="12"/>
  <c r="G50" i="12"/>
  <c r="F50" i="12"/>
  <c r="G49" i="12"/>
  <c r="F49" i="12"/>
  <c r="G48" i="12"/>
  <c r="F48" i="12"/>
  <c r="G47" i="12"/>
  <c r="F47" i="12"/>
  <c r="G46" i="12"/>
  <c r="F46" i="12"/>
  <c r="G45" i="12"/>
  <c r="F45" i="12"/>
  <c r="G44" i="12"/>
  <c r="F44" i="12"/>
  <c r="G43" i="12"/>
  <c r="F43" i="12"/>
  <c r="G42" i="12"/>
  <c r="F42" i="12"/>
  <c r="G41" i="12"/>
  <c r="F41" i="12"/>
  <c r="G40" i="12"/>
  <c r="F40" i="12"/>
  <c r="G39" i="12"/>
  <c r="F39" i="12"/>
  <c r="G38" i="12"/>
  <c r="F38" i="12"/>
  <c r="G37" i="12"/>
  <c r="F37" i="12"/>
  <c r="G36" i="12"/>
  <c r="F36" i="12"/>
  <c r="G35" i="12"/>
  <c r="F35" i="12"/>
  <c r="G34" i="12"/>
  <c r="F34" i="12"/>
  <c r="G33" i="12"/>
  <c r="F33" i="12"/>
  <c r="G32" i="12"/>
  <c r="F32" i="12"/>
  <c r="G31" i="12"/>
  <c r="F31" i="12"/>
  <c r="G30" i="12"/>
  <c r="F30" i="12"/>
  <c r="H58" i="12"/>
  <c r="I58" i="12" s="1"/>
  <c r="H57" i="12"/>
  <c r="I57" i="12" s="1"/>
  <c r="H56" i="12"/>
  <c r="I56" i="12" s="1"/>
  <c r="H55" i="12"/>
  <c r="I55" i="12" s="1"/>
  <c r="H54" i="12"/>
  <c r="I54" i="12" s="1"/>
  <c r="H53" i="12"/>
  <c r="I53" i="12" s="1"/>
  <c r="H52" i="12"/>
  <c r="I52" i="12" s="1"/>
  <c r="H51" i="12"/>
  <c r="I51" i="12" s="1"/>
  <c r="H50" i="12"/>
  <c r="I50" i="12" s="1"/>
  <c r="H49" i="12"/>
  <c r="I49" i="12" s="1"/>
  <c r="H48" i="12"/>
  <c r="I48" i="12" s="1"/>
  <c r="H47" i="12"/>
  <c r="I47" i="12" s="1"/>
  <c r="H46" i="12"/>
  <c r="I46" i="12" s="1"/>
  <c r="H45" i="12"/>
  <c r="I45" i="12" s="1"/>
  <c r="H44" i="12"/>
  <c r="I44" i="12" s="1"/>
  <c r="H43" i="12"/>
  <c r="I43" i="12" s="1"/>
  <c r="H42" i="12"/>
  <c r="I42" i="12" s="1"/>
  <c r="H41" i="12"/>
  <c r="I41" i="12" s="1"/>
  <c r="H40" i="12"/>
  <c r="I40" i="12" s="1"/>
  <c r="H39" i="12"/>
  <c r="I39" i="12" s="1"/>
  <c r="H38" i="12"/>
  <c r="I38" i="12" s="1"/>
  <c r="H37" i="12"/>
  <c r="I37" i="12" s="1"/>
  <c r="H36" i="12"/>
  <c r="I36" i="12" s="1"/>
  <c r="H35" i="12"/>
  <c r="I35" i="12" s="1"/>
  <c r="H34" i="12"/>
  <c r="I34" i="12" s="1"/>
  <c r="H33" i="12"/>
  <c r="I33" i="12" s="1"/>
  <c r="H32" i="12"/>
  <c r="I32" i="12" s="1"/>
  <c r="H59" i="6" l="1"/>
  <c r="I59" i="6" s="1"/>
  <c r="H58" i="6"/>
  <c r="I58" i="6" s="1"/>
  <c r="H57" i="6"/>
  <c r="I57" i="6" s="1"/>
  <c r="H56" i="6"/>
  <c r="I56" i="6" s="1"/>
  <c r="H55" i="6"/>
  <c r="I55" i="6" s="1"/>
  <c r="H54" i="6"/>
  <c r="I54" i="6" s="1"/>
  <c r="H53" i="6"/>
  <c r="I53" i="6" s="1"/>
  <c r="H52" i="6"/>
  <c r="I52" i="6" s="1"/>
  <c r="H51" i="6"/>
  <c r="I51" i="6" s="1"/>
  <c r="H50" i="6"/>
  <c r="I50" i="6" s="1"/>
  <c r="H49" i="6"/>
  <c r="I49" i="6" s="1"/>
  <c r="H48" i="6"/>
  <c r="I48" i="6" s="1"/>
  <c r="H47" i="6"/>
  <c r="I47" i="6" s="1"/>
  <c r="H46" i="6"/>
  <c r="I46" i="6" s="1"/>
  <c r="H45" i="6"/>
  <c r="I45" i="6" s="1"/>
  <c r="H44" i="6"/>
  <c r="I44" i="6" s="1"/>
  <c r="H43" i="6"/>
  <c r="I43" i="6" s="1"/>
  <c r="H42" i="6"/>
  <c r="I42" i="6" s="1"/>
  <c r="H41" i="6"/>
  <c r="I41" i="6" s="1"/>
  <c r="H40" i="6"/>
  <c r="I40" i="6" s="1"/>
  <c r="H39" i="6"/>
  <c r="I39" i="6" s="1"/>
  <c r="H38" i="6"/>
  <c r="I38" i="6" s="1"/>
  <c r="H37" i="6"/>
  <c r="I37" i="6" s="1"/>
  <c r="H36" i="6"/>
  <c r="I36" i="6" s="1"/>
  <c r="H35" i="6"/>
  <c r="I35" i="6" s="1"/>
  <c r="H34" i="6"/>
  <c r="I34" i="6" s="1"/>
  <c r="N4" i="4" l="1"/>
  <c r="A1" i="4" l="1"/>
  <c r="J76" i="4" l="1"/>
  <c r="D76" i="4"/>
  <c r="C59" i="12" s="1"/>
  <c r="C76" i="4"/>
  <c r="B59" i="12" s="1"/>
  <c r="A76" i="4"/>
  <c r="A59" i="12" s="1"/>
  <c r="J75" i="4"/>
  <c r="D75" i="4"/>
  <c r="C58" i="12" s="1"/>
  <c r="C75" i="4"/>
  <c r="B58" i="12" s="1"/>
  <c r="A75" i="4"/>
  <c r="A58" i="12" s="1"/>
  <c r="J74" i="4"/>
  <c r="J73" i="4"/>
  <c r="J72" i="4"/>
  <c r="J71" i="4"/>
  <c r="J70" i="4"/>
  <c r="J69" i="4"/>
  <c r="J68" i="4"/>
  <c r="J67" i="4"/>
  <c r="J66" i="4"/>
  <c r="J65" i="4"/>
  <c r="J64" i="4"/>
  <c r="J63" i="4"/>
  <c r="J62" i="4"/>
  <c r="J61" i="4"/>
  <c r="J60" i="4"/>
  <c r="J59" i="4"/>
  <c r="J58" i="4"/>
  <c r="J57" i="4"/>
  <c r="J56" i="4"/>
  <c r="A77"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H39" i="11"/>
  <c r="G39" i="11"/>
  <c r="H38" i="11"/>
  <c r="G38" i="11"/>
  <c r="H44" i="11"/>
  <c r="O44" i="11" s="1"/>
  <c r="P44" i="11" s="1"/>
  <c r="V44" i="11" s="1"/>
  <c r="H43" i="11"/>
  <c r="O43" i="11" s="1"/>
  <c r="P43" i="11" s="1"/>
  <c r="V43" i="11" s="1"/>
  <c r="H69" i="9"/>
  <c r="H68" i="9"/>
  <c r="H67" i="9"/>
  <c r="H66" i="9"/>
  <c r="H65" i="9"/>
  <c r="H64" i="9"/>
  <c r="H63" i="9"/>
  <c r="H62" i="9"/>
  <c r="H61" i="9"/>
  <c r="H60" i="9"/>
  <c r="H59" i="9"/>
  <c r="H58" i="9"/>
  <c r="H57" i="9"/>
  <c r="H56" i="9"/>
  <c r="H55" i="9"/>
  <c r="H54" i="9"/>
  <c r="H53" i="9"/>
  <c r="H52" i="9"/>
  <c r="H51" i="9"/>
  <c r="H50" i="9"/>
  <c r="H49" i="9"/>
  <c r="H48" i="9"/>
  <c r="H47" i="9"/>
  <c r="J38" i="4"/>
  <c r="D38" i="4"/>
  <c r="C59" i="6" s="1"/>
  <c r="C38" i="4"/>
  <c r="B59" i="6" s="1"/>
  <c r="A38" i="4"/>
  <c r="A59" i="6" s="1"/>
  <c r="J37" i="4"/>
  <c r="D37" i="4"/>
  <c r="C58" i="6" s="1"/>
  <c r="C37" i="4"/>
  <c r="B58" i="6" s="1"/>
  <c r="A37" i="4"/>
  <c r="A58" i="6" s="1"/>
  <c r="J36" i="4"/>
  <c r="D36" i="4"/>
  <c r="C57" i="6" s="1"/>
  <c r="C36" i="4"/>
  <c r="B57" i="6" s="1"/>
  <c r="A36" i="4"/>
  <c r="A57" i="6" s="1"/>
  <c r="J35" i="4"/>
  <c r="D35" i="4"/>
  <c r="C56" i="6" s="1"/>
  <c r="C35" i="4"/>
  <c r="B56" i="6" s="1"/>
  <c r="A35" i="4"/>
  <c r="A56" i="6" s="1"/>
  <c r="J34" i="4"/>
  <c r="D34" i="4"/>
  <c r="C55" i="6" s="1"/>
  <c r="C34" i="4"/>
  <c r="B55" i="6" s="1"/>
  <c r="A34" i="4"/>
  <c r="A55" i="6" s="1"/>
  <c r="J33" i="4"/>
  <c r="D33" i="4"/>
  <c r="C54" i="6" s="1"/>
  <c r="C33" i="4"/>
  <c r="B54" i="6" s="1"/>
  <c r="A33" i="4"/>
  <c r="A54" i="6" s="1"/>
  <c r="J32" i="4"/>
  <c r="D32" i="4"/>
  <c r="C53" i="6" s="1"/>
  <c r="C32" i="4"/>
  <c r="B53" i="6" s="1"/>
  <c r="A32" i="4"/>
  <c r="A53" i="6" s="1"/>
  <c r="J31" i="4"/>
  <c r="D31" i="4"/>
  <c r="C52" i="6" s="1"/>
  <c r="C31" i="4"/>
  <c r="B52" i="6" s="1"/>
  <c r="A31" i="4"/>
  <c r="A52" i="6" s="1"/>
  <c r="J30" i="4"/>
  <c r="D30" i="4"/>
  <c r="C51" i="6" s="1"/>
  <c r="C30" i="4"/>
  <c r="B51" i="6" s="1"/>
  <c r="A30" i="4"/>
  <c r="A51" i="6" s="1"/>
  <c r="J29" i="4"/>
  <c r="D29" i="4"/>
  <c r="C50" i="6" s="1"/>
  <c r="C29" i="4"/>
  <c r="B50" i="6" s="1"/>
  <c r="A29" i="4"/>
  <c r="A50" i="6" s="1"/>
  <c r="J28" i="4"/>
  <c r="D28" i="4"/>
  <c r="C49" i="6" s="1"/>
  <c r="C28" i="4"/>
  <c r="B49" i="6" s="1"/>
  <c r="A28" i="4"/>
  <c r="A49" i="6" s="1"/>
  <c r="J27" i="4"/>
  <c r="D27" i="4"/>
  <c r="C48" i="6" s="1"/>
  <c r="C27" i="4"/>
  <c r="B48" i="6" s="1"/>
  <c r="A27" i="4"/>
  <c r="A48" i="6" s="1"/>
  <c r="J26" i="4"/>
  <c r="D26" i="4"/>
  <c r="C47" i="6" s="1"/>
  <c r="C26" i="4"/>
  <c r="B47" i="6" s="1"/>
  <c r="A26" i="4"/>
  <c r="A47" i="6" s="1"/>
  <c r="J25" i="4"/>
  <c r="D25" i="4"/>
  <c r="C46" i="6" s="1"/>
  <c r="C25" i="4"/>
  <c r="B46" i="6" s="1"/>
  <c r="A25" i="4"/>
  <c r="A46" i="6" s="1"/>
  <c r="J24" i="4"/>
  <c r="D24" i="4"/>
  <c r="C45" i="6" s="1"/>
  <c r="C24" i="4"/>
  <c r="B45" i="6" s="1"/>
  <c r="A24" i="4"/>
  <c r="A45" i="6" s="1"/>
  <c r="J23" i="4"/>
  <c r="D23" i="4"/>
  <c r="C44" i="6" s="1"/>
  <c r="C23" i="4"/>
  <c r="B44" i="6" s="1"/>
  <c r="A23" i="4"/>
  <c r="A44" i="6" s="1"/>
  <c r="J22" i="4"/>
  <c r="D22" i="4"/>
  <c r="C43" i="6" s="1"/>
  <c r="C22" i="4"/>
  <c r="B43" i="6" s="1"/>
  <c r="A22" i="4"/>
  <c r="A43" i="6" s="1"/>
  <c r="J21" i="4"/>
  <c r="D21" i="4"/>
  <c r="C42" i="6" s="1"/>
  <c r="C21" i="4"/>
  <c r="B42" i="6" s="1"/>
  <c r="A21" i="4"/>
  <c r="A42" i="6" s="1"/>
  <c r="J20" i="4"/>
  <c r="D20" i="4"/>
  <c r="C41" i="6" s="1"/>
  <c r="C20" i="4"/>
  <c r="B41" i="6" s="1"/>
  <c r="A20" i="4"/>
  <c r="A41" i="6" s="1"/>
  <c r="J19" i="4"/>
  <c r="D19" i="4"/>
  <c r="C40" i="6" s="1"/>
  <c r="C19" i="4"/>
  <c r="B40" i="6" s="1"/>
  <c r="A19" i="4"/>
  <c r="A40" i="6" s="1"/>
  <c r="J18" i="4"/>
  <c r="D18" i="4"/>
  <c r="C39" i="6" s="1"/>
  <c r="C18" i="4"/>
  <c r="B39" i="6" s="1"/>
  <c r="A18" i="4"/>
  <c r="A39" i="6" s="1"/>
  <c r="J17" i="4"/>
  <c r="D17" i="4"/>
  <c r="C38" i="6" s="1"/>
  <c r="C17" i="4"/>
  <c r="B38" i="6" s="1"/>
  <c r="A17" i="4"/>
  <c r="A38" i="6" s="1"/>
  <c r="J16" i="4"/>
  <c r="D16" i="4"/>
  <c r="C37" i="6" s="1"/>
  <c r="C16" i="4"/>
  <c r="B37" i="6" s="1"/>
  <c r="A16" i="4"/>
  <c r="A37" i="6" s="1"/>
  <c r="J15" i="4"/>
  <c r="D15" i="4"/>
  <c r="C36" i="6" s="1"/>
  <c r="C15" i="4"/>
  <c r="B36" i="6" s="1"/>
  <c r="A15" i="4"/>
  <c r="A36" i="6" s="1"/>
  <c r="J14" i="4"/>
  <c r="D14" i="4"/>
  <c r="C35" i="6" s="1"/>
  <c r="C14" i="4"/>
  <c r="B35" i="6" s="1"/>
  <c r="A14" i="4"/>
  <c r="A35" i="6" s="1"/>
  <c r="J13" i="4"/>
  <c r="D13" i="4"/>
  <c r="C34" i="6" s="1"/>
  <c r="C13" i="4"/>
  <c r="B34" i="6" s="1"/>
  <c r="A13" i="4"/>
  <c r="A34" i="6" s="1"/>
  <c r="J12" i="4"/>
  <c r="D12" i="4"/>
  <c r="C33" i="6" s="1"/>
  <c r="C12" i="4"/>
  <c r="B33" i="6" s="1"/>
  <c r="A12" i="4"/>
  <c r="D74" i="4"/>
  <c r="C57" i="12" s="1"/>
  <c r="C74" i="4"/>
  <c r="B57" i="12" s="1"/>
  <c r="A74" i="4"/>
  <c r="A57" i="12" s="1"/>
  <c r="D73" i="4"/>
  <c r="C56" i="12" s="1"/>
  <c r="C73" i="4"/>
  <c r="B56" i="12" s="1"/>
  <c r="A73" i="4"/>
  <c r="A56" i="12" s="1"/>
  <c r="D72" i="4"/>
  <c r="C55" i="12" s="1"/>
  <c r="C72" i="4"/>
  <c r="B55" i="12" s="1"/>
  <c r="A72" i="4"/>
  <c r="A55" i="12" s="1"/>
  <c r="D71" i="4"/>
  <c r="C54" i="12" s="1"/>
  <c r="C71" i="4"/>
  <c r="B54" i="12" s="1"/>
  <c r="A71" i="4"/>
  <c r="A54" i="12" s="1"/>
  <c r="D70" i="4"/>
  <c r="C53" i="12" s="1"/>
  <c r="C70" i="4"/>
  <c r="B53" i="12" s="1"/>
  <c r="A70" i="4"/>
  <c r="A53" i="12" s="1"/>
  <c r="D69" i="4"/>
  <c r="C52" i="12" s="1"/>
  <c r="C69" i="4"/>
  <c r="B52" i="12" s="1"/>
  <c r="A69" i="4"/>
  <c r="A52" i="12" s="1"/>
  <c r="D68" i="4"/>
  <c r="C51" i="12" s="1"/>
  <c r="C68" i="4"/>
  <c r="B51" i="12" s="1"/>
  <c r="A68" i="4"/>
  <c r="A51" i="12" s="1"/>
  <c r="D67" i="4"/>
  <c r="C50" i="12" s="1"/>
  <c r="C67" i="4"/>
  <c r="B50" i="12" s="1"/>
  <c r="A67" i="4"/>
  <c r="A50" i="12" s="1"/>
  <c r="D66" i="4"/>
  <c r="C49" i="12" s="1"/>
  <c r="C66" i="4"/>
  <c r="B49" i="12" s="1"/>
  <c r="A66" i="4"/>
  <c r="A49" i="12" s="1"/>
  <c r="D65" i="4"/>
  <c r="C48" i="12" s="1"/>
  <c r="C65" i="4"/>
  <c r="B48" i="12" s="1"/>
  <c r="A65" i="4"/>
  <c r="A48" i="12" s="1"/>
  <c r="D64" i="4"/>
  <c r="C47" i="12" s="1"/>
  <c r="C64" i="4"/>
  <c r="B47" i="12" s="1"/>
  <c r="A64" i="4"/>
  <c r="A47" i="12" s="1"/>
  <c r="D63" i="4"/>
  <c r="C46" i="12" s="1"/>
  <c r="C63" i="4"/>
  <c r="B46" i="12" s="1"/>
  <c r="A63" i="4"/>
  <c r="A46" i="12" s="1"/>
  <c r="D62" i="4"/>
  <c r="C45" i="12" s="1"/>
  <c r="C62" i="4"/>
  <c r="B45" i="12" s="1"/>
  <c r="A62" i="4"/>
  <c r="A45" i="12" s="1"/>
  <c r="D61" i="4"/>
  <c r="C44" i="12" s="1"/>
  <c r="C61" i="4"/>
  <c r="B44" i="12" s="1"/>
  <c r="A61" i="4"/>
  <c r="A44" i="12" s="1"/>
  <c r="D60" i="4"/>
  <c r="C43" i="12" s="1"/>
  <c r="C60" i="4"/>
  <c r="B43" i="12" s="1"/>
  <c r="A60" i="4"/>
  <c r="A43" i="12" s="1"/>
  <c r="D59" i="4"/>
  <c r="C42" i="12" s="1"/>
  <c r="C59" i="4"/>
  <c r="B42" i="12" s="1"/>
  <c r="A59" i="4"/>
  <c r="A42" i="12" s="1"/>
  <c r="D58" i="4"/>
  <c r="C41" i="12" s="1"/>
  <c r="C58" i="4"/>
  <c r="B41" i="12" s="1"/>
  <c r="A58" i="4"/>
  <c r="A41" i="12" s="1"/>
  <c r="D57" i="4"/>
  <c r="C40" i="12" s="1"/>
  <c r="C57" i="4"/>
  <c r="B40" i="12" s="1"/>
  <c r="A57" i="4"/>
  <c r="A40" i="12" s="1"/>
  <c r="D56" i="4"/>
  <c r="C39" i="12" s="1"/>
  <c r="C56" i="4"/>
  <c r="B39" i="12" s="1"/>
  <c r="A56" i="4"/>
  <c r="A39" i="12" s="1"/>
  <c r="D55" i="4"/>
  <c r="C38" i="12" s="1"/>
  <c r="C55" i="4"/>
  <c r="B38" i="12" s="1"/>
  <c r="A55" i="4"/>
  <c r="A38" i="12" s="1"/>
  <c r="D54" i="4"/>
  <c r="C37" i="12" s="1"/>
  <c r="C54" i="4"/>
  <c r="B37" i="12" s="1"/>
  <c r="A54" i="4"/>
  <c r="A37" i="12" s="1"/>
  <c r="D53" i="4"/>
  <c r="C36" i="12" s="1"/>
  <c r="C53" i="4"/>
  <c r="B36" i="12" s="1"/>
  <c r="A53" i="4"/>
  <c r="A36" i="12" s="1"/>
  <c r="D52" i="4"/>
  <c r="C35" i="12" s="1"/>
  <c r="C52" i="4"/>
  <c r="B35" i="12" s="1"/>
  <c r="A52" i="4"/>
  <c r="A35" i="12" s="1"/>
  <c r="D51" i="4"/>
  <c r="C34" i="12" s="1"/>
  <c r="C51" i="4"/>
  <c r="B34" i="12" s="1"/>
  <c r="A51" i="4"/>
  <c r="A34" i="12" s="1"/>
  <c r="D50" i="4"/>
  <c r="C33" i="12" s="1"/>
  <c r="C50" i="4"/>
  <c r="B33" i="12" s="1"/>
  <c r="A50" i="4"/>
  <c r="A33" i="12" s="1"/>
  <c r="D49" i="4"/>
  <c r="C32" i="12" s="1"/>
  <c r="C49" i="4"/>
  <c r="B32" i="12" s="1"/>
  <c r="A49" i="4"/>
  <c r="A32" i="12" s="1"/>
  <c r="D48" i="4"/>
  <c r="C31" i="12" s="1"/>
  <c r="C48" i="4"/>
  <c r="B31" i="12" s="1"/>
  <c r="A48" i="4"/>
  <c r="A31" i="12" s="1"/>
  <c r="H46" i="9"/>
  <c r="H45" i="9"/>
  <c r="H44" i="9"/>
  <c r="W43" i="11" l="1"/>
  <c r="B76" i="9"/>
  <c r="W44" i="11"/>
  <c r="B77" i="9"/>
  <c r="J77" i="9" s="1"/>
  <c r="F84" i="4" s="1"/>
  <c r="M39" i="11"/>
  <c r="O39" i="11" s="1"/>
  <c r="P39" i="11" s="1"/>
  <c r="V39" i="11" s="1"/>
  <c r="B72" i="9" s="1"/>
  <c r="J72" i="9" s="1"/>
  <c r="M38" i="11"/>
  <c r="O38" i="11" s="1"/>
  <c r="P38" i="11" s="1"/>
  <c r="V38" i="11" s="1"/>
  <c r="B71" i="9" s="1"/>
  <c r="J71" i="9" s="1"/>
  <c r="E77" i="9" l="1"/>
  <c r="F77" i="9" s="1"/>
  <c r="K77" i="9" s="1"/>
  <c r="J76" i="9"/>
  <c r="F83" i="4" s="1"/>
  <c r="C76" i="9"/>
  <c r="E76" i="9"/>
  <c r="F76" i="9" s="1"/>
  <c r="W39" i="11"/>
  <c r="W38" i="11"/>
  <c r="E71" i="9" l="1"/>
  <c r="F71" i="9" s="1"/>
  <c r="E72" i="9"/>
  <c r="F72" i="9" s="1"/>
  <c r="D72" i="9"/>
  <c r="A36" i="9"/>
  <c r="A35" i="9"/>
  <c r="A34" i="9"/>
  <c r="A33" i="9"/>
  <c r="A32" i="9"/>
  <c r="A31" i="9"/>
  <c r="A30" i="9"/>
  <c r="A29" i="9"/>
  <c r="A28" i="9"/>
  <c r="A27" i="9"/>
  <c r="A26" i="9"/>
  <c r="A25" i="9"/>
  <c r="A24" i="9"/>
  <c r="A23" i="9"/>
  <c r="A22" i="9"/>
  <c r="A21" i="9"/>
  <c r="A20" i="9"/>
  <c r="A19" i="9"/>
  <c r="A18" i="9"/>
  <c r="A17" i="9"/>
  <c r="A16" i="9"/>
  <c r="A15" i="9"/>
  <c r="A14" i="9"/>
  <c r="A13" i="9"/>
  <c r="A12" i="9"/>
  <c r="A11" i="9"/>
  <c r="A10" i="9"/>
  <c r="D47" i="4"/>
  <c r="C30" i="12" s="1"/>
  <c r="C47" i="4"/>
  <c r="B30" i="12" s="1"/>
  <c r="A47" i="4"/>
  <c r="A30" i="12" s="1"/>
  <c r="H37" i="11"/>
  <c r="M37" i="11" s="1"/>
  <c r="O37" i="11" s="1"/>
  <c r="P37" i="11" s="1"/>
  <c r="G37" i="11"/>
  <c r="H36" i="11"/>
  <c r="G36" i="11"/>
  <c r="H35" i="11"/>
  <c r="M35" i="11" s="1"/>
  <c r="O35" i="11" s="1"/>
  <c r="P35" i="11" s="1"/>
  <c r="G35" i="11"/>
  <c r="H34" i="11"/>
  <c r="G34" i="11"/>
  <c r="H33" i="11"/>
  <c r="G33" i="11"/>
  <c r="H32" i="11"/>
  <c r="G32" i="11"/>
  <c r="H31" i="11"/>
  <c r="G31" i="11"/>
  <c r="H30" i="11"/>
  <c r="M30" i="11" s="1"/>
  <c r="O30" i="11" s="1"/>
  <c r="P30" i="11" s="1"/>
  <c r="G30" i="11"/>
  <c r="H29" i="11"/>
  <c r="G29" i="11"/>
  <c r="H28" i="11"/>
  <c r="M28" i="11" s="1"/>
  <c r="O28" i="11" s="1"/>
  <c r="P28" i="11" s="1"/>
  <c r="G28" i="11"/>
  <c r="H27" i="11"/>
  <c r="G27" i="11"/>
  <c r="H26" i="11"/>
  <c r="G26" i="11"/>
  <c r="H25" i="11"/>
  <c r="G25" i="11"/>
  <c r="H24" i="11"/>
  <c r="G24" i="11"/>
  <c r="H23" i="11"/>
  <c r="M23" i="11" s="1"/>
  <c r="O23" i="11" s="1"/>
  <c r="P23" i="11" s="1"/>
  <c r="G23" i="11"/>
  <c r="H22" i="11"/>
  <c r="G22" i="11"/>
  <c r="H21" i="11"/>
  <c r="G21" i="11"/>
  <c r="H20" i="11"/>
  <c r="G20" i="11"/>
  <c r="H19" i="11"/>
  <c r="G19" i="11"/>
  <c r="H18" i="11"/>
  <c r="G18" i="11"/>
  <c r="H17" i="11"/>
  <c r="M17" i="11" s="1"/>
  <c r="O17" i="11" s="1"/>
  <c r="P17" i="11" s="1"/>
  <c r="G17" i="11"/>
  <c r="H16" i="11"/>
  <c r="G16" i="11"/>
  <c r="H15" i="11"/>
  <c r="G15" i="11"/>
  <c r="H14" i="11"/>
  <c r="G14" i="11"/>
  <c r="I39" i="5"/>
  <c r="N39" i="5" s="1"/>
  <c r="H39" i="5"/>
  <c r="I38" i="5"/>
  <c r="H38" i="5"/>
  <c r="I37" i="5"/>
  <c r="H37" i="5"/>
  <c r="I36" i="5"/>
  <c r="N36" i="5" s="1"/>
  <c r="H36" i="5"/>
  <c r="I35" i="5"/>
  <c r="N35" i="5" s="1"/>
  <c r="H35" i="5"/>
  <c r="I34" i="5"/>
  <c r="N34" i="5" s="1"/>
  <c r="H34" i="5"/>
  <c r="I33" i="5"/>
  <c r="H33" i="5"/>
  <c r="I32" i="5"/>
  <c r="N32" i="5" s="1"/>
  <c r="H32" i="5"/>
  <c r="I31" i="5"/>
  <c r="H31" i="5"/>
  <c r="I30" i="5"/>
  <c r="H30" i="5"/>
  <c r="I29" i="5"/>
  <c r="N29" i="5" s="1"/>
  <c r="H29" i="5"/>
  <c r="I28" i="5"/>
  <c r="N28" i="5" s="1"/>
  <c r="H28" i="5"/>
  <c r="I27" i="5"/>
  <c r="H27" i="5"/>
  <c r="I26" i="5"/>
  <c r="H26" i="5"/>
  <c r="I25" i="5"/>
  <c r="H25" i="5"/>
  <c r="I24" i="5"/>
  <c r="N24" i="5" s="1"/>
  <c r="H24" i="5"/>
  <c r="I23" i="5"/>
  <c r="N23" i="5" s="1"/>
  <c r="H23" i="5"/>
  <c r="I22" i="5"/>
  <c r="H22" i="5"/>
  <c r="I21" i="5"/>
  <c r="H21" i="5"/>
  <c r="I20" i="5"/>
  <c r="N20" i="5" s="1"/>
  <c r="H20" i="5"/>
  <c r="I19" i="5"/>
  <c r="N19" i="5" s="1"/>
  <c r="H19" i="5"/>
  <c r="I18" i="5"/>
  <c r="H18" i="5"/>
  <c r="I17" i="5"/>
  <c r="H17" i="5"/>
  <c r="I16" i="5"/>
  <c r="N16" i="5" s="1"/>
  <c r="H16" i="5"/>
  <c r="I15" i="5"/>
  <c r="H15" i="5"/>
  <c r="I14" i="5"/>
  <c r="N14" i="5" s="1"/>
  <c r="P14" i="5" s="1"/>
  <c r="Q14" i="5" s="1"/>
  <c r="H14" i="5"/>
  <c r="H59" i="12"/>
  <c r="I59" i="12" s="1"/>
  <c r="H31" i="12"/>
  <c r="I31" i="12" s="1"/>
  <c r="I23" i="12"/>
  <c r="I22" i="12"/>
  <c r="I21" i="12"/>
  <c r="I20" i="12"/>
  <c r="I19" i="12"/>
  <c r="I18" i="12"/>
  <c r="I17" i="12"/>
  <c r="I16" i="12"/>
  <c r="I15" i="12"/>
  <c r="I14" i="12"/>
  <c r="I13" i="12"/>
  <c r="I12" i="12"/>
  <c r="I11" i="12"/>
  <c r="I10" i="12"/>
  <c r="I9" i="12"/>
  <c r="I8" i="12"/>
  <c r="I7" i="12"/>
  <c r="I6" i="12"/>
  <c r="I5" i="12"/>
  <c r="L5" i="12" s="1"/>
  <c r="L24" i="12" s="1"/>
  <c r="N44" i="12" s="1"/>
  <c r="A43" i="11"/>
  <c r="H42" i="11"/>
  <c r="O42" i="11" s="1"/>
  <c r="P42" i="11" s="1"/>
  <c r="V42" i="11" s="1"/>
  <c r="B75" i="9" s="1"/>
  <c r="J75" i="9" s="1"/>
  <c r="A42" i="11"/>
  <c r="H13" i="11"/>
  <c r="M13" i="11" s="1"/>
  <c r="G13" i="11"/>
  <c r="G12" i="11"/>
  <c r="H12" i="11" s="1"/>
  <c r="G11" i="11"/>
  <c r="H11" i="11" s="1"/>
  <c r="G10" i="11"/>
  <c r="H10" i="11" s="1"/>
  <c r="A1" i="11"/>
  <c r="J23" i="12" l="1"/>
  <c r="M23" i="12" s="1"/>
  <c r="J12" i="12"/>
  <c r="M12" i="12" s="1"/>
  <c r="J21" i="12"/>
  <c r="M21" i="12" s="1"/>
  <c r="J14" i="12"/>
  <c r="M14" i="12" s="1"/>
  <c r="J15" i="12"/>
  <c r="M15" i="12" s="1"/>
  <c r="J16" i="12"/>
  <c r="M16" i="12" s="1"/>
  <c r="J20" i="12"/>
  <c r="M20" i="12" s="1"/>
  <c r="J22" i="12"/>
  <c r="M22" i="12" s="1"/>
  <c r="J17" i="12"/>
  <c r="M17" i="12" s="1"/>
  <c r="J19" i="12"/>
  <c r="M19" i="12" s="1"/>
  <c r="J13" i="12"/>
  <c r="M13" i="12" s="1"/>
  <c r="J18" i="12"/>
  <c r="M18" i="12" s="1"/>
  <c r="A75" i="9"/>
  <c r="A82" i="4"/>
  <c r="A76" i="9"/>
  <c r="A83" i="4"/>
  <c r="P19" i="5"/>
  <c r="Q19" i="5" s="1"/>
  <c r="W19" i="5" s="1"/>
  <c r="P23" i="5"/>
  <c r="Q23" i="5" s="1"/>
  <c r="W23" i="5" s="1"/>
  <c r="P29" i="5"/>
  <c r="Q29" i="5" s="1"/>
  <c r="W29" i="5" s="1"/>
  <c r="P35" i="5"/>
  <c r="Q35" i="5" s="1"/>
  <c r="W35" i="5" s="1"/>
  <c r="P16" i="5"/>
  <c r="Q16" i="5" s="1"/>
  <c r="W16" i="5" s="1"/>
  <c r="P24" i="5"/>
  <c r="Q24" i="5" s="1"/>
  <c r="W24" i="5" s="1"/>
  <c r="P28" i="5"/>
  <c r="Q28" i="5" s="1"/>
  <c r="W28" i="5" s="1"/>
  <c r="P32" i="5"/>
  <c r="Q32" i="5" s="1"/>
  <c r="W32" i="5" s="1"/>
  <c r="P34" i="5"/>
  <c r="Q34" i="5" s="1"/>
  <c r="W34" i="5" s="1"/>
  <c r="P36" i="5"/>
  <c r="Q36" i="5" s="1"/>
  <c r="W36" i="5" s="1"/>
  <c r="F82" i="4"/>
  <c r="E75" i="9"/>
  <c r="F75" i="9" s="1"/>
  <c r="W42" i="11"/>
  <c r="W14" i="5"/>
  <c r="B11" i="9" s="1"/>
  <c r="J11" i="9" s="1"/>
  <c r="O13" i="11"/>
  <c r="P13" i="11" s="1"/>
  <c r="V13" i="11" s="1"/>
  <c r="B46" i="9" s="1"/>
  <c r="J46" i="9" s="1"/>
  <c r="V28" i="11"/>
  <c r="B61" i="9" s="1"/>
  <c r="J61" i="9" s="1"/>
  <c r="V30" i="11"/>
  <c r="B63" i="9" s="1"/>
  <c r="J63" i="9" s="1"/>
  <c r="V17" i="11"/>
  <c r="B50" i="9" s="1"/>
  <c r="J50" i="9" s="1"/>
  <c r="V35" i="11"/>
  <c r="B68" i="9" s="1"/>
  <c r="J68" i="9" s="1"/>
  <c r="V37" i="11"/>
  <c r="B70" i="9" s="1"/>
  <c r="J70" i="9" s="1"/>
  <c r="M36" i="11"/>
  <c r="O36" i="11" s="1"/>
  <c r="P36" i="11" s="1"/>
  <c r="V36" i="11" s="1"/>
  <c r="B69" i="9" s="1"/>
  <c r="J69" i="9" s="1"/>
  <c r="M34" i="11"/>
  <c r="O34" i="11" s="1"/>
  <c r="P34" i="11" s="1"/>
  <c r="V34" i="11" s="1"/>
  <c r="B67" i="9" s="1"/>
  <c r="J67" i="9" s="1"/>
  <c r="M33" i="11"/>
  <c r="O33" i="11" s="1"/>
  <c r="P33" i="11" s="1"/>
  <c r="V33" i="11" s="1"/>
  <c r="B66" i="9" s="1"/>
  <c r="J66" i="9" s="1"/>
  <c r="M32" i="11"/>
  <c r="O32" i="11" s="1"/>
  <c r="P32" i="11" s="1"/>
  <c r="V32" i="11" s="1"/>
  <c r="B65" i="9" s="1"/>
  <c r="J65" i="9" s="1"/>
  <c r="M31" i="11"/>
  <c r="O31" i="11" s="1"/>
  <c r="P31" i="11" s="1"/>
  <c r="V31" i="11" s="1"/>
  <c r="B64" i="9" s="1"/>
  <c r="J64" i="9" s="1"/>
  <c r="M29" i="11"/>
  <c r="O29" i="11" s="1"/>
  <c r="P29" i="11" s="1"/>
  <c r="V29" i="11" s="1"/>
  <c r="B62" i="9" s="1"/>
  <c r="J62" i="9" s="1"/>
  <c r="M27" i="11"/>
  <c r="O27" i="11" s="1"/>
  <c r="P27" i="11" s="1"/>
  <c r="V27" i="11" s="1"/>
  <c r="B60" i="9" s="1"/>
  <c r="J60" i="9" s="1"/>
  <c r="M26" i="11"/>
  <c r="O26" i="11" s="1"/>
  <c r="P26" i="11" s="1"/>
  <c r="V26" i="11" s="1"/>
  <c r="B59" i="9" s="1"/>
  <c r="J59" i="9" s="1"/>
  <c r="M25" i="11"/>
  <c r="O25" i="11" s="1"/>
  <c r="P25" i="11" s="1"/>
  <c r="V25" i="11" s="1"/>
  <c r="B58" i="9" s="1"/>
  <c r="J58" i="9" s="1"/>
  <c r="M24" i="11"/>
  <c r="O24" i="11" s="1"/>
  <c r="P24" i="11" s="1"/>
  <c r="V24" i="11" s="1"/>
  <c r="B57" i="9" s="1"/>
  <c r="J57" i="9" s="1"/>
  <c r="V23" i="11"/>
  <c r="B56" i="9" s="1"/>
  <c r="J56" i="9" s="1"/>
  <c r="M22" i="11"/>
  <c r="O22" i="11" s="1"/>
  <c r="P22" i="11" s="1"/>
  <c r="V22" i="11" s="1"/>
  <c r="B55" i="9" s="1"/>
  <c r="J55" i="9" s="1"/>
  <c r="M21" i="11"/>
  <c r="O21" i="11" s="1"/>
  <c r="P21" i="11" s="1"/>
  <c r="V21" i="11" s="1"/>
  <c r="B54" i="9" s="1"/>
  <c r="J54" i="9" s="1"/>
  <c r="M20" i="11"/>
  <c r="O20" i="11" s="1"/>
  <c r="P20" i="11" s="1"/>
  <c r="V20" i="11" s="1"/>
  <c r="B53" i="9" s="1"/>
  <c r="J53" i="9" s="1"/>
  <c r="M19" i="11"/>
  <c r="O19" i="11" s="1"/>
  <c r="P19" i="11" s="1"/>
  <c r="V19" i="11" s="1"/>
  <c r="B52" i="9" s="1"/>
  <c r="J52" i="9" s="1"/>
  <c r="M18" i="11"/>
  <c r="O18" i="11" s="1"/>
  <c r="P18" i="11" s="1"/>
  <c r="V18" i="11" s="1"/>
  <c r="B51" i="9" s="1"/>
  <c r="J51" i="9" s="1"/>
  <c r="M16" i="11"/>
  <c r="O16" i="11" s="1"/>
  <c r="P16" i="11" s="1"/>
  <c r="V16" i="11" s="1"/>
  <c r="B49" i="9" s="1"/>
  <c r="J49" i="9" s="1"/>
  <c r="M15" i="11"/>
  <c r="O15" i="11" s="1"/>
  <c r="P15" i="11" s="1"/>
  <c r="V15" i="11" s="1"/>
  <c r="B48" i="9" s="1"/>
  <c r="J48" i="9" s="1"/>
  <c r="M14" i="11"/>
  <c r="O14" i="11" s="1"/>
  <c r="P14" i="11" s="1"/>
  <c r="V14" i="11" s="1"/>
  <c r="B47" i="9" s="1"/>
  <c r="J47" i="9" s="1"/>
  <c r="P39" i="5"/>
  <c r="Q39" i="5" s="1"/>
  <c r="W39" i="5" s="1"/>
  <c r="B36" i="9" s="1"/>
  <c r="J36" i="9" s="1"/>
  <c r="N38" i="5"/>
  <c r="N37" i="5"/>
  <c r="N33" i="5"/>
  <c r="N31" i="5"/>
  <c r="N30" i="5"/>
  <c r="N27" i="5"/>
  <c r="N26" i="5"/>
  <c r="N25" i="5"/>
  <c r="N22" i="5"/>
  <c r="N21" i="5"/>
  <c r="P20" i="5"/>
  <c r="Q20" i="5" s="1"/>
  <c r="W20" i="5" s="1"/>
  <c r="B17" i="9" s="1"/>
  <c r="J17" i="9" s="1"/>
  <c r="N18" i="5"/>
  <c r="N17" i="5"/>
  <c r="N15" i="5"/>
  <c r="I24" i="12"/>
  <c r="C99" i="4"/>
  <c r="C98" i="4"/>
  <c r="C97" i="4"/>
  <c r="C96" i="4"/>
  <c r="C95" i="4"/>
  <c r="C94" i="4"/>
  <c r="C93" i="4"/>
  <c r="C92" i="4"/>
  <c r="C91" i="4"/>
  <c r="C90" i="4"/>
  <c r="C89" i="4"/>
  <c r="D11" i="4"/>
  <c r="C32" i="6" s="1"/>
  <c r="C11" i="4"/>
  <c r="B32" i="6" s="1"/>
  <c r="D10" i="4"/>
  <c r="C31" i="6" s="1"/>
  <c r="C10" i="4"/>
  <c r="B31" i="6" s="1"/>
  <c r="D9" i="4"/>
  <c r="C30" i="6" s="1"/>
  <c r="C9" i="4"/>
  <c r="B30" i="6" s="1"/>
  <c r="A98" i="4"/>
  <c r="A97" i="4"/>
  <c r="A96" i="4"/>
  <c r="A95" i="4"/>
  <c r="A94" i="4"/>
  <c r="A93" i="4"/>
  <c r="A92" i="4"/>
  <c r="A91" i="4"/>
  <c r="A90" i="4"/>
  <c r="A89" i="4"/>
  <c r="A11" i="4"/>
  <c r="A10" i="4"/>
  <c r="A1" i="5"/>
  <c r="A1" i="6"/>
  <c r="A1" i="9"/>
  <c r="A1" i="10"/>
  <c r="C1" i="3"/>
  <c r="A1" i="2"/>
  <c r="A2" i="1"/>
  <c r="A25" i="12" l="1"/>
  <c r="X32" i="5"/>
  <c r="B29" i="9"/>
  <c r="J29" i="9" s="1"/>
  <c r="X28" i="5"/>
  <c r="B25" i="9"/>
  <c r="J25" i="9" s="1"/>
  <c r="X36" i="5"/>
  <c r="B33" i="9"/>
  <c r="J33" i="9" s="1"/>
  <c r="X16" i="5"/>
  <c r="B13" i="9"/>
  <c r="J13" i="9" s="1"/>
  <c r="F15" i="4" s="1"/>
  <c r="H15" i="4" s="1"/>
  <c r="X29" i="5"/>
  <c r="B26" i="9"/>
  <c r="J26" i="9" s="1"/>
  <c r="X24" i="5"/>
  <c r="B21" i="9"/>
  <c r="J21" i="9" s="1"/>
  <c r="X23" i="5"/>
  <c r="B20" i="9"/>
  <c r="J20" i="9" s="1"/>
  <c r="F22" i="4" s="1"/>
  <c r="H22" i="4" s="1"/>
  <c r="L22" i="4" s="1"/>
  <c r="X19" i="5"/>
  <c r="B16" i="9"/>
  <c r="J16" i="9" s="1"/>
  <c r="F18" i="4" s="1"/>
  <c r="H18" i="4" s="1"/>
  <c r="L18" i="4" s="1"/>
  <c r="X34" i="5"/>
  <c r="B31" i="9"/>
  <c r="J31" i="9" s="1"/>
  <c r="X35" i="5"/>
  <c r="B32" i="9"/>
  <c r="J32" i="9" s="1"/>
  <c r="F34" i="4" s="1"/>
  <c r="H34" i="4" s="1"/>
  <c r="L34" i="4" s="1"/>
  <c r="P31" i="5"/>
  <c r="Q31" i="5" s="1"/>
  <c r="W31" i="5" s="1"/>
  <c r="X14" i="5"/>
  <c r="P37" i="5"/>
  <c r="Q37" i="5" s="1"/>
  <c r="W37" i="5" s="1"/>
  <c r="P18" i="5"/>
  <c r="Q18" i="5" s="1"/>
  <c r="W18" i="5" s="1"/>
  <c r="B15" i="9" s="1"/>
  <c r="J15" i="9" s="1"/>
  <c r="P33" i="5"/>
  <c r="Q33" i="5" s="1"/>
  <c r="W33" i="5" s="1"/>
  <c r="B30" i="9" s="1"/>
  <c r="J30" i="9" s="1"/>
  <c r="P22" i="5"/>
  <c r="Q22" i="5" s="1"/>
  <c r="W22" i="5" s="1"/>
  <c r="B19" i="9" s="1"/>
  <c r="J19" i="9" s="1"/>
  <c r="P38" i="5"/>
  <c r="Q38" i="5" s="1"/>
  <c r="W38" i="5" s="1"/>
  <c r="P21" i="5"/>
  <c r="Q21" i="5" s="1"/>
  <c r="W21" i="5" s="1"/>
  <c r="B18" i="9" s="1"/>
  <c r="J18" i="9" s="1"/>
  <c r="P26" i="5"/>
  <c r="Q26" i="5" s="1"/>
  <c r="W26" i="5" s="1"/>
  <c r="B23" i="9" s="1"/>
  <c r="J23" i="9" s="1"/>
  <c r="P25" i="5"/>
  <c r="Q25" i="5" s="1"/>
  <c r="W25" i="5" s="1"/>
  <c r="B22" i="9" s="1"/>
  <c r="J22" i="9" s="1"/>
  <c r="P15" i="5"/>
  <c r="Q15" i="5" s="1"/>
  <c r="W15" i="5" s="1"/>
  <c r="P27" i="5"/>
  <c r="Q27" i="5" s="1"/>
  <c r="W27" i="5" s="1"/>
  <c r="B24" i="9" s="1"/>
  <c r="J24" i="9" s="1"/>
  <c r="P17" i="5"/>
  <c r="Q17" i="5" s="1"/>
  <c r="W17" i="5" s="1"/>
  <c r="B14" i="9" s="1"/>
  <c r="J14" i="9" s="1"/>
  <c r="P30" i="5"/>
  <c r="Q30" i="5" s="1"/>
  <c r="W30" i="5" s="1"/>
  <c r="B27" i="9" s="1"/>
  <c r="J27" i="9" s="1"/>
  <c r="E11" i="9"/>
  <c r="F11" i="9" s="1"/>
  <c r="K11" i="9" s="1"/>
  <c r="K76" i="9"/>
  <c r="K75" i="9"/>
  <c r="F76" i="4"/>
  <c r="H76" i="4" s="1"/>
  <c r="L76" i="4" s="1"/>
  <c r="K72" i="9"/>
  <c r="W27" i="11"/>
  <c r="E60" i="9"/>
  <c r="F60" i="9" s="1"/>
  <c r="K60" i="9" s="1"/>
  <c r="W29" i="11"/>
  <c r="E62" i="9"/>
  <c r="F62" i="9" s="1"/>
  <c r="K62" i="9" s="1"/>
  <c r="W17" i="11"/>
  <c r="E50" i="9"/>
  <c r="F50" i="9" s="1"/>
  <c r="K50" i="9" s="1"/>
  <c r="W21" i="11"/>
  <c r="E54" i="9"/>
  <c r="F54" i="9" s="1"/>
  <c r="K54" i="9" s="1"/>
  <c r="W31" i="11"/>
  <c r="E64" i="9"/>
  <c r="F64" i="9" s="1"/>
  <c r="K64" i="9" s="1"/>
  <c r="W25" i="11"/>
  <c r="E58" i="9"/>
  <c r="F58" i="9" s="1"/>
  <c r="K58" i="9" s="1"/>
  <c r="W32" i="11"/>
  <c r="E65" i="9"/>
  <c r="F65" i="9" s="1"/>
  <c r="K65" i="9" s="1"/>
  <c r="W36" i="11"/>
  <c r="E69" i="9"/>
  <c r="F69" i="9" s="1"/>
  <c r="K69" i="9" s="1"/>
  <c r="W35" i="11"/>
  <c r="E68" i="9"/>
  <c r="F68" i="9" s="1"/>
  <c r="K68" i="9" s="1"/>
  <c r="W20" i="11"/>
  <c r="E53" i="9"/>
  <c r="F53" i="9" s="1"/>
  <c r="K53" i="9" s="1"/>
  <c r="W22" i="11"/>
  <c r="E55" i="9"/>
  <c r="F55" i="9" s="1"/>
  <c r="K55" i="9" s="1"/>
  <c r="W14" i="11"/>
  <c r="E47" i="9"/>
  <c r="F47" i="9" s="1"/>
  <c r="K47" i="9" s="1"/>
  <c r="W23" i="11"/>
  <c r="E56" i="9"/>
  <c r="F56" i="9" s="1"/>
  <c r="K56" i="9" s="1"/>
  <c r="W33" i="11"/>
  <c r="E66" i="9"/>
  <c r="F66" i="9" s="1"/>
  <c r="K66" i="9" s="1"/>
  <c r="K71" i="9"/>
  <c r="W19" i="11"/>
  <c r="E52" i="9"/>
  <c r="F52" i="9" s="1"/>
  <c r="K52" i="9" s="1"/>
  <c r="W15" i="11"/>
  <c r="E48" i="9"/>
  <c r="F48" i="9" s="1"/>
  <c r="K48" i="9" s="1"/>
  <c r="W24" i="11"/>
  <c r="E57" i="9"/>
  <c r="F57" i="9" s="1"/>
  <c r="K57" i="9" s="1"/>
  <c r="W34" i="11"/>
  <c r="E67" i="9"/>
  <c r="F67" i="9" s="1"/>
  <c r="K67" i="9" s="1"/>
  <c r="W30" i="11"/>
  <c r="E63" i="9"/>
  <c r="F63" i="9" s="1"/>
  <c r="K63" i="9" s="1"/>
  <c r="W16" i="11"/>
  <c r="E49" i="9"/>
  <c r="F49" i="9" s="1"/>
  <c r="K49" i="9" s="1"/>
  <c r="W28" i="11"/>
  <c r="E61" i="9"/>
  <c r="F61" i="9" s="1"/>
  <c r="K61" i="9" s="1"/>
  <c r="W18" i="11"/>
  <c r="E51" i="9"/>
  <c r="F51" i="9" s="1"/>
  <c r="K51" i="9" s="1"/>
  <c r="W26" i="11"/>
  <c r="E59" i="9"/>
  <c r="F59" i="9" s="1"/>
  <c r="K59" i="9" s="1"/>
  <c r="W37" i="11"/>
  <c r="X20" i="5"/>
  <c r="X39" i="5"/>
  <c r="W13" i="11"/>
  <c r="E46" i="9"/>
  <c r="L31" i="3"/>
  <c r="L30" i="3"/>
  <c r="L29" i="3"/>
  <c r="L28" i="3"/>
  <c r="L27" i="3"/>
  <c r="L26" i="3"/>
  <c r="L25" i="3"/>
  <c r="L24" i="3"/>
  <c r="L23" i="3"/>
  <c r="L22" i="3"/>
  <c r="L21" i="3"/>
  <c r="L20" i="3"/>
  <c r="L19" i="3"/>
  <c r="L18" i="3"/>
  <c r="L17" i="3"/>
  <c r="L16" i="3"/>
  <c r="L15" i="3"/>
  <c r="L14" i="3"/>
  <c r="L13" i="3"/>
  <c r="L12" i="3"/>
  <c r="L11" i="3"/>
  <c r="L10" i="3"/>
  <c r="L9" i="3"/>
  <c r="L8" i="3"/>
  <c r="J31" i="3"/>
  <c r="J30" i="3"/>
  <c r="J29" i="3"/>
  <c r="J28" i="3"/>
  <c r="J27" i="3"/>
  <c r="J26" i="3"/>
  <c r="J25" i="3"/>
  <c r="J24" i="3"/>
  <c r="J23" i="3"/>
  <c r="J22" i="3"/>
  <c r="J21" i="3"/>
  <c r="J20" i="3"/>
  <c r="J19" i="3"/>
  <c r="J18" i="3"/>
  <c r="J17" i="3"/>
  <c r="J16" i="3"/>
  <c r="J15" i="3"/>
  <c r="J14" i="3"/>
  <c r="J13" i="3"/>
  <c r="J12" i="3"/>
  <c r="J11" i="3"/>
  <c r="J10" i="3"/>
  <c r="J9" i="3"/>
  <c r="J8" i="3"/>
  <c r="H31" i="3"/>
  <c r="H30" i="3"/>
  <c r="H29" i="3"/>
  <c r="H28" i="3"/>
  <c r="H27" i="3"/>
  <c r="H26" i="3"/>
  <c r="H25" i="3"/>
  <c r="H24" i="3"/>
  <c r="H23" i="3"/>
  <c r="H22" i="3"/>
  <c r="H21" i="3"/>
  <c r="H20" i="3"/>
  <c r="H19" i="3"/>
  <c r="H18" i="3"/>
  <c r="H17" i="3"/>
  <c r="H16" i="3"/>
  <c r="H15" i="3"/>
  <c r="H14" i="3"/>
  <c r="H13" i="3"/>
  <c r="H12" i="3"/>
  <c r="H10" i="3"/>
  <c r="H9" i="3"/>
  <c r="H8" i="3"/>
  <c r="F31" i="3"/>
  <c r="F30" i="3"/>
  <c r="F29" i="3"/>
  <c r="F28" i="3"/>
  <c r="F27" i="3"/>
  <c r="F26" i="3"/>
  <c r="F25" i="3"/>
  <c r="F24" i="3"/>
  <c r="F23" i="3"/>
  <c r="F22" i="3"/>
  <c r="F21" i="3"/>
  <c r="F20" i="3"/>
  <c r="F19" i="3"/>
  <c r="F18" i="3"/>
  <c r="F17" i="3"/>
  <c r="F16" i="3"/>
  <c r="F15" i="3"/>
  <c r="F14" i="3"/>
  <c r="F13" i="3"/>
  <c r="F12" i="3"/>
  <c r="F11" i="3"/>
  <c r="H11" i="3" s="1"/>
  <c r="F10" i="3"/>
  <c r="F9" i="3"/>
  <c r="F8" i="3"/>
  <c r="J7" i="3"/>
  <c r="L7" i="3" s="1"/>
  <c r="F7" i="3"/>
  <c r="H7" i="3" s="1"/>
  <c r="X21" i="5" l="1"/>
  <c r="X33" i="5"/>
  <c r="X26" i="5"/>
  <c r="X30" i="5"/>
  <c r="X22" i="5"/>
  <c r="D29" i="9"/>
  <c r="D31" i="9"/>
  <c r="X25" i="5"/>
  <c r="E25" i="9"/>
  <c r="F25" i="9" s="1"/>
  <c r="K25" i="9" s="1"/>
  <c r="X27" i="5"/>
  <c r="X15" i="5"/>
  <c r="B12" i="9"/>
  <c r="J12" i="9" s="1"/>
  <c r="F14" i="4" s="1"/>
  <c r="H14" i="4" s="1"/>
  <c r="X37" i="5"/>
  <c r="B34" i="9"/>
  <c r="J34" i="9" s="1"/>
  <c r="F36" i="4" s="1"/>
  <c r="H36" i="4" s="1"/>
  <c r="L36" i="4" s="1"/>
  <c r="X31" i="5"/>
  <c r="B28" i="9"/>
  <c r="J28" i="9" s="1"/>
  <c r="F30" i="4" s="1"/>
  <c r="H30" i="4" s="1"/>
  <c r="L30" i="4" s="1"/>
  <c r="X18" i="5"/>
  <c r="X38" i="5"/>
  <c r="B35" i="9"/>
  <c r="J35" i="9" s="1"/>
  <c r="F37" i="4" s="1"/>
  <c r="H37" i="4" s="1"/>
  <c r="L37" i="4" s="1"/>
  <c r="X17" i="5"/>
  <c r="E70" i="9"/>
  <c r="F70" i="9" s="1"/>
  <c r="K70" i="9" s="1"/>
  <c r="F31" i="4"/>
  <c r="H31" i="4" s="1"/>
  <c r="L31" i="4" s="1"/>
  <c r="E29" i="9"/>
  <c r="F29" i="9" s="1"/>
  <c r="K29" i="9" s="1"/>
  <c r="D11" i="9"/>
  <c r="F13" i="4"/>
  <c r="H13" i="4" s="1"/>
  <c r="D54" i="9"/>
  <c r="D70" i="9"/>
  <c r="D49" i="9"/>
  <c r="D57" i="9"/>
  <c r="D66" i="9"/>
  <c r="D53" i="9"/>
  <c r="D55" i="9"/>
  <c r="D65" i="9"/>
  <c r="D50" i="9"/>
  <c r="D71" i="9"/>
  <c r="F75" i="4"/>
  <c r="H75" i="4" s="1"/>
  <c r="L75" i="4" s="1"/>
  <c r="D58" i="9"/>
  <c r="D62" i="9"/>
  <c r="D67" i="9"/>
  <c r="D48" i="9"/>
  <c r="D51" i="9"/>
  <c r="D63" i="9"/>
  <c r="D52" i="9"/>
  <c r="D47" i="9"/>
  <c r="D69" i="9"/>
  <c r="D61" i="9"/>
  <c r="D59" i="9"/>
  <c r="D56" i="9"/>
  <c r="D68" i="9"/>
  <c r="D64" i="9"/>
  <c r="D60" i="9"/>
  <c r="E13" i="9"/>
  <c r="F13" i="9" s="1"/>
  <c r="K13" i="9" s="1"/>
  <c r="D32" i="9"/>
  <c r="E32" i="9"/>
  <c r="F32" i="9" s="1"/>
  <c r="K32" i="9" s="1"/>
  <c r="D13" i="9"/>
  <c r="E31" i="9"/>
  <c r="F31" i="9" s="1"/>
  <c r="K31" i="9" s="1"/>
  <c r="F33" i="4"/>
  <c r="H33" i="4" s="1"/>
  <c r="L33" i="4" s="1"/>
  <c r="E16" i="9"/>
  <c r="F16" i="9" s="1"/>
  <c r="D16" i="9"/>
  <c r="D25" i="9"/>
  <c r="F27" i="4"/>
  <c r="H27" i="4" s="1"/>
  <c r="L27" i="4" s="1"/>
  <c r="E20" i="9"/>
  <c r="F20" i="9" s="1"/>
  <c r="K20" i="9" s="1"/>
  <c r="E21" i="9"/>
  <c r="F21" i="9" s="1"/>
  <c r="K21" i="9" s="1"/>
  <c r="D21" i="9"/>
  <c r="F23" i="4"/>
  <c r="H23" i="4" s="1"/>
  <c r="L23" i="4" s="1"/>
  <c r="F28" i="4"/>
  <c r="H28" i="4" s="1"/>
  <c r="L28" i="4" s="1"/>
  <c r="E26" i="9"/>
  <c r="F26" i="9" s="1"/>
  <c r="K26" i="9" s="1"/>
  <c r="D26" i="9"/>
  <c r="D20" i="9"/>
  <c r="F35" i="4"/>
  <c r="H35" i="4" s="1"/>
  <c r="L35" i="4" s="1"/>
  <c r="D33" i="9"/>
  <c r="E33" i="9"/>
  <c r="F33" i="9" s="1"/>
  <c r="K33" i="9" s="1"/>
  <c r="F29" i="4"/>
  <c r="H29" i="4" s="1"/>
  <c r="L29" i="4" s="1"/>
  <c r="D27" i="9"/>
  <c r="E27" i="9"/>
  <c r="F27" i="9" s="1"/>
  <c r="K27" i="9" s="1"/>
  <c r="D19" i="9"/>
  <c r="E19" i="9"/>
  <c r="F19" i="9" s="1"/>
  <c r="K19" i="9" s="1"/>
  <c r="F21" i="4"/>
  <c r="H21" i="4" s="1"/>
  <c r="L21" i="4" s="1"/>
  <c r="D18" i="9"/>
  <c r="F20" i="4"/>
  <c r="H20" i="4" s="1"/>
  <c r="L20" i="4" s="1"/>
  <c r="E18" i="9"/>
  <c r="F18" i="9" s="1"/>
  <c r="K18" i="9" s="1"/>
  <c r="E36" i="9"/>
  <c r="F36" i="9" s="1"/>
  <c r="K36" i="9" s="1"/>
  <c r="F38" i="4"/>
  <c r="H38" i="4" s="1"/>
  <c r="L38" i="4" s="1"/>
  <c r="D36" i="9"/>
  <c r="E22" i="9"/>
  <c r="F22" i="9" s="1"/>
  <c r="K22" i="9" s="1"/>
  <c r="D22" i="9"/>
  <c r="F24" i="4"/>
  <c r="H24" i="4" s="1"/>
  <c r="L24" i="4" s="1"/>
  <c r="F26" i="4"/>
  <c r="H26" i="4" s="1"/>
  <c r="L26" i="4" s="1"/>
  <c r="E24" i="9"/>
  <c r="F24" i="9" s="1"/>
  <c r="K24" i="9" s="1"/>
  <c r="D24" i="9"/>
  <c r="F25" i="4"/>
  <c r="H25" i="4" s="1"/>
  <c r="L25" i="4" s="1"/>
  <c r="D23" i="9"/>
  <c r="E23" i="9"/>
  <c r="F23" i="9" s="1"/>
  <c r="K23" i="9" s="1"/>
  <c r="F16" i="4"/>
  <c r="H16" i="4" s="1"/>
  <c r="L16" i="4" s="1"/>
  <c r="D14" i="9"/>
  <c r="E14" i="9"/>
  <c r="F14" i="9" s="1"/>
  <c r="D46" i="9"/>
  <c r="D17" i="9"/>
  <c r="E17" i="9"/>
  <c r="F17" i="9" s="1"/>
  <c r="K17" i="9" s="1"/>
  <c r="F19" i="4"/>
  <c r="H19" i="4" s="1"/>
  <c r="L19" i="4" s="1"/>
  <c r="F17" i="4"/>
  <c r="H17" i="4" s="1"/>
  <c r="E15" i="9"/>
  <c r="F15" i="9" s="1"/>
  <c r="D15" i="9"/>
  <c r="E30" i="9"/>
  <c r="F30" i="9" s="1"/>
  <c r="K30" i="9" s="1"/>
  <c r="F32" i="4"/>
  <c r="H32" i="4" s="1"/>
  <c r="L32" i="4" s="1"/>
  <c r="D30" i="9"/>
  <c r="D31" i="3"/>
  <c r="B31" i="3"/>
  <c r="D30" i="3"/>
  <c r="B30" i="3"/>
  <c r="D29" i="3"/>
  <c r="B29" i="3"/>
  <c r="D28" i="3"/>
  <c r="B28" i="3"/>
  <c r="D27" i="3"/>
  <c r="B27" i="3"/>
  <c r="D26" i="3"/>
  <c r="B26" i="3"/>
  <c r="D25" i="3"/>
  <c r="B25" i="3"/>
  <c r="D24" i="3"/>
  <c r="B24" i="3"/>
  <c r="D23" i="3"/>
  <c r="B23" i="3"/>
  <c r="D22" i="3"/>
  <c r="B22" i="3"/>
  <c r="D21" i="3"/>
  <c r="B21" i="3"/>
  <c r="D20" i="3"/>
  <c r="B20" i="3"/>
  <c r="D19" i="3"/>
  <c r="B19" i="3"/>
  <c r="D18" i="3"/>
  <c r="B18" i="3"/>
  <c r="D17" i="3"/>
  <c r="B17" i="3"/>
  <c r="D16" i="3"/>
  <c r="B16" i="3"/>
  <c r="D15" i="3"/>
  <c r="B15" i="3"/>
  <c r="D14" i="3"/>
  <c r="B14" i="3"/>
  <c r="D13" i="3"/>
  <c r="B13" i="3"/>
  <c r="D12" i="3"/>
  <c r="B12" i="3"/>
  <c r="D11" i="3"/>
  <c r="B11" i="3"/>
  <c r="D10" i="3"/>
  <c r="B10" i="3"/>
  <c r="D9" i="3"/>
  <c r="B9" i="3"/>
  <c r="D8" i="3"/>
  <c r="B8" i="3"/>
  <c r="D7" i="3"/>
  <c r="B7" i="3"/>
  <c r="B5" i="2"/>
  <c r="H8" i="2"/>
  <c r="H29" i="2"/>
  <c r="F29" i="2"/>
  <c r="G29" i="2" s="1"/>
  <c r="B29" i="2"/>
  <c r="H28" i="2"/>
  <c r="F28" i="2"/>
  <c r="G28" i="2" s="1"/>
  <c r="B28" i="2"/>
  <c r="H27" i="2"/>
  <c r="F27" i="2"/>
  <c r="G27" i="2" s="1"/>
  <c r="B27" i="2"/>
  <c r="H26" i="2"/>
  <c r="F26" i="2"/>
  <c r="G26" i="2" s="1"/>
  <c r="B26" i="2"/>
  <c r="H25" i="2"/>
  <c r="F25" i="2"/>
  <c r="G25" i="2" s="1"/>
  <c r="B25" i="2"/>
  <c r="H24" i="2"/>
  <c r="F24" i="2"/>
  <c r="G24" i="2" s="1"/>
  <c r="B24" i="2"/>
  <c r="H23" i="2"/>
  <c r="F23" i="2"/>
  <c r="G23" i="2" s="1"/>
  <c r="B23" i="2"/>
  <c r="H22" i="2"/>
  <c r="F22" i="2"/>
  <c r="G22" i="2" s="1"/>
  <c r="B22" i="2"/>
  <c r="H21" i="2"/>
  <c r="F21" i="2"/>
  <c r="G21" i="2" s="1"/>
  <c r="B21" i="2"/>
  <c r="H20" i="2"/>
  <c r="F20" i="2"/>
  <c r="G20" i="2" s="1"/>
  <c r="B20" i="2"/>
  <c r="H19" i="2"/>
  <c r="F19" i="2"/>
  <c r="G19" i="2" s="1"/>
  <c r="B19" i="2"/>
  <c r="H18" i="2"/>
  <c r="F18" i="2"/>
  <c r="G18" i="2" s="1"/>
  <c r="B18" i="2"/>
  <c r="H17" i="2"/>
  <c r="F17" i="2"/>
  <c r="G17" i="2" s="1"/>
  <c r="B17" i="2"/>
  <c r="H16" i="2"/>
  <c r="F16" i="2"/>
  <c r="G16" i="2" s="1"/>
  <c r="B16" i="2"/>
  <c r="H15" i="2"/>
  <c r="F15" i="2"/>
  <c r="G15" i="2" s="1"/>
  <c r="B15" i="2"/>
  <c r="H14" i="2"/>
  <c r="F14" i="2"/>
  <c r="G14" i="2" s="1"/>
  <c r="B14" i="2"/>
  <c r="H13" i="2"/>
  <c r="F13" i="2"/>
  <c r="G13" i="2" s="1"/>
  <c r="B13" i="2"/>
  <c r="B8" i="2"/>
  <c r="H12" i="2"/>
  <c r="H11" i="2"/>
  <c r="H10" i="2"/>
  <c r="H9" i="2"/>
  <c r="H7" i="2"/>
  <c r="H6" i="2"/>
  <c r="B12" i="2"/>
  <c r="B11" i="2"/>
  <c r="B10" i="2"/>
  <c r="B9" i="2"/>
  <c r="B7" i="2"/>
  <c r="B6" i="2"/>
  <c r="H5" i="2"/>
  <c r="A8" i="10"/>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7" i="10"/>
  <c r="P24" i="3" l="1"/>
  <c r="M24" i="3"/>
  <c r="N24" i="3"/>
  <c r="O24" i="3"/>
  <c r="M10" i="3"/>
  <c r="N10" i="3"/>
  <c r="O10" i="3"/>
  <c r="P10" i="3"/>
  <c r="O19" i="3"/>
  <c r="N19" i="3"/>
  <c r="P19" i="3"/>
  <c r="M19" i="3"/>
  <c r="M27" i="3"/>
  <c r="N27" i="3"/>
  <c r="O27" i="3"/>
  <c r="P27" i="3"/>
  <c r="N20" i="3"/>
  <c r="O20" i="3"/>
  <c r="P20" i="3"/>
  <c r="M20" i="3"/>
  <c r="N28" i="3"/>
  <c r="O28" i="3"/>
  <c r="M28" i="3"/>
  <c r="P28" i="3"/>
  <c r="P16" i="3"/>
  <c r="M16" i="3"/>
  <c r="N16" i="3"/>
  <c r="O16" i="3"/>
  <c r="O14" i="3"/>
  <c r="P14" i="3"/>
  <c r="M14" i="3"/>
  <c r="N14" i="3"/>
  <c r="O22" i="3"/>
  <c r="P22" i="3"/>
  <c r="M22" i="3"/>
  <c r="N22" i="3"/>
  <c r="O30" i="3"/>
  <c r="N30" i="3"/>
  <c r="P30" i="3"/>
  <c r="M30" i="3"/>
  <c r="M11" i="3"/>
  <c r="N11" i="3"/>
  <c r="O11" i="3"/>
  <c r="P11" i="3"/>
  <c r="N17" i="3"/>
  <c r="P17" i="3"/>
  <c r="M17" i="3"/>
  <c r="O17" i="3"/>
  <c r="N25" i="3"/>
  <c r="M25" i="3"/>
  <c r="O25" i="3"/>
  <c r="P25" i="3"/>
  <c r="N12" i="3"/>
  <c r="M12" i="3"/>
  <c r="O12" i="3"/>
  <c r="P12" i="3"/>
  <c r="M15" i="3"/>
  <c r="O15" i="3"/>
  <c r="P15" i="3"/>
  <c r="N15" i="3"/>
  <c r="M23" i="3"/>
  <c r="O23" i="3"/>
  <c r="P23" i="3"/>
  <c r="N23" i="3"/>
  <c r="O31" i="3"/>
  <c r="P31" i="3"/>
  <c r="M31" i="3"/>
  <c r="N31" i="3"/>
  <c r="M18" i="3"/>
  <c r="N18" i="3"/>
  <c r="O18" i="3"/>
  <c r="P18" i="3"/>
  <c r="M26" i="3"/>
  <c r="N26" i="3"/>
  <c r="O26" i="3"/>
  <c r="P26" i="3"/>
  <c r="O13" i="3"/>
  <c r="P13" i="3"/>
  <c r="M13" i="3"/>
  <c r="N13" i="3"/>
  <c r="P21" i="3"/>
  <c r="N21" i="3"/>
  <c r="O21" i="3"/>
  <c r="M21" i="3"/>
  <c r="O29" i="3"/>
  <c r="P29" i="3"/>
  <c r="N29" i="3"/>
  <c r="M29" i="3"/>
  <c r="E34" i="9"/>
  <c r="F34" i="9" s="1"/>
  <c r="K34" i="9" s="1"/>
  <c r="N7" i="3"/>
  <c r="P7" i="3" s="1"/>
  <c r="R7" i="3" s="1"/>
  <c r="M7" i="3"/>
  <c r="O7" i="3" s="1"/>
  <c r="N8" i="3"/>
  <c r="P8" i="3" s="1"/>
  <c r="M8" i="3"/>
  <c r="O8" i="3" s="1"/>
  <c r="P9" i="3"/>
  <c r="O9" i="3"/>
  <c r="N9" i="3"/>
  <c r="M9" i="3"/>
  <c r="E28" i="9"/>
  <c r="F28" i="9" s="1"/>
  <c r="K28" i="9" s="1"/>
  <c r="D28" i="9"/>
  <c r="D34" i="9"/>
  <c r="E35" i="9"/>
  <c r="F35" i="9" s="1"/>
  <c r="K35" i="9" s="1"/>
  <c r="D12" i="9"/>
  <c r="E12" i="9"/>
  <c r="F12" i="9" s="1"/>
  <c r="K12" i="9" s="1"/>
  <c r="D35" i="9"/>
  <c r="F65" i="4"/>
  <c r="H65" i="4" s="1"/>
  <c r="L65" i="4" s="1"/>
  <c r="F67" i="4"/>
  <c r="H67" i="4" s="1"/>
  <c r="L67" i="4" s="1"/>
  <c r="F73" i="4"/>
  <c r="H73" i="4" s="1"/>
  <c r="L73" i="4" s="1"/>
  <c r="F53" i="4"/>
  <c r="H53" i="4" s="1"/>
  <c r="F50" i="4"/>
  <c r="H50" i="4" s="1"/>
  <c r="F72" i="4"/>
  <c r="H72" i="4" s="1"/>
  <c r="L72" i="4" s="1"/>
  <c r="F55" i="4"/>
  <c r="H55" i="4" s="1"/>
  <c r="F62" i="4"/>
  <c r="H62" i="4" s="1"/>
  <c r="L62" i="4" s="1"/>
  <c r="F59" i="4"/>
  <c r="H59" i="4" s="1"/>
  <c r="L59" i="4" s="1"/>
  <c r="F61" i="4"/>
  <c r="H61" i="4" s="1"/>
  <c r="L61" i="4" s="1"/>
  <c r="F60" i="4"/>
  <c r="H60" i="4" s="1"/>
  <c r="L60" i="4" s="1"/>
  <c r="F74" i="4"/>
  <c r="H74" i="4" s="1"/>
  <c r="L74" i="4" s="1"/>
  <c r="F66" i="4"/>
  <c r="H66" i="4" s="1"/>
  <c r="L66" i="4" s="1"/>
  <c r="F51" i="4"/>
  <c r="H51" i="4" s="1"/>
  <c r="F52" i="4"/>
  <c r="H52" i="4" s="1"/>
  <c r="F57" i="4"/>
  <c r="H57" i="4" s="1"/>
  <c r="L57" i="4" s="1"/>
  <c r="F69" i="4"/>
  <c r="H69" i="4" s="1"/>
  <c r="L69" i="4" s="1"/>
  <c r="F64" i="4"/>
  <c r="H64" i="4" s="1"/>
  <c r="L64" i="4" s="1"/>
  <c r="F63" i="4"/>
  <c r="H63" i="4" s="1"/>
  <c r="L63" i="4" s="1"/>
  <c r="F71" i="4"/>
  <c r="H71" i="4" s="1"/>
  <c r="L71" i="4" s="1"/>
  <c r="F68" i="4"/>
  <c r="H68" i="4" s="1"/>
  <c r="L68" i="4" s="1"/>
  <c r="F56" i="4"/>
  <c r="H56" i="4" s="1"/>
  <c r="L56" i="4" s="1"/>
  <c r="F54" i="4"/>
  <c r="H54" i="4" s="1"/>
  <c r="F70" i="4"/>
  <c r="H70" i="4" s="1"/>
  <c r="L70" i="4" s="1"/>
  <c r="F58" i="4"/>
  <c r="H58" i="4" s="1"/>
  <c r="L58" i="4" s="1"/>
  <c r="D20" i="10"/>
  <c r="D17" i="10"/>
  <c r="D25" i="10"/>
  <c r="D28" i="10"/>
  <c r="D14" i="10"/>
  <c r="D22" i="10"/>
  <c r="D30" i="10"/>
  <c r="D27" i="10"/>
  <c r="D19" i="10"/>
  <c r="D24" i="10"/>
  <c r="D16" i="10"/>
  <c r="D21" i="10"/>
  <c r="D29" i="10"/>
  <c r="D18" i="10"/>
  <c r="D26" i="10"/>
  <c r="D15" i="10"/>
  <c r="D23" i="10"/>
  <c r="S24" i="3" l="1"/>
  <c r="E23" i="10" s="1"/>
  <c r="S18" i="3"/>
  <c r="E17" i="10" s="1"/>
  <c r="S19" i="3"/>
  <c r="E18" i="10" s="1"/>
  <c r="S31" i="3"/>
  <c r="E30" i="10" s="1"/>
  <c r="S25" i="3"/>
  <c r="E24" i="10" s="1"/>
  <c r="S23" i="3"/>
  <c r="E22" i="10" s="1"/>
  <c r="S26" i="3"/>
  <c r="E25" i="10" s="1"/>
  <c r="S20" i="3"/>
  <c r="E19" i="10" s="1"/>
  <c r="S21" i="3"/>
  <c r="E20" i="10" s="1"/>
  <c r="S16" i="3"/>
  <c r="E15" i="10" s="1"/>
  <c r="S29" i="3"/>
  <c r="E28" i="10" s="1"/>
  <c r="S14" i="3"/>
  <c r="E13" i="10" s="1"/>
  <c r="S15" i="3"/>
  <c r="E14" i="10" s="1"/>
  <c r="S17" i="3"/>
  <c r="E16" i="10" s="1"/>
  <c r="S28" i="3"/>
  <c r="E27" i="10" s="1"/>
  <c r="S30" i="3"/>
  <c r="E29" i="10" s="1"/>
  <c r="S27" i="3"/>
  <c r="E26" i="10" s="1"/>
  <c r="S22" i="3"/>
  <c r="E21" i="10" s="1"/>
  <c r="A90" i="9"/>
  <c r="A89" i="9"/>
  <c r="A88" i="9"/>
  <c r="A87" i="9"/>
  <c r="A86" i="9"/>
  <c r="A85" i="9"/>
  <c r="A84" i="9"/>
  <c r="A83" i="9"/>
  <c r="A82" i="9"/>
  <c r="A81" i="9"/>
  <c r="H80" i="9"/>
  <c r="A80" i="9"/>
  <c r="R39" i="9"/>
  <c r="R35" i="9"/>
  <c r="Q30" i="9"/>
  <c r="R25" i="9"/>
  <c r="Q26" i="9" s="1"/>
  <c r="Q27" i="9" s="1"/>
  <c r="Q32" i="9" s="1"/>
  <c r="R32" i="9" s="1"/>
  <c r="H43" i="9"/>
  <c r="K40" i="9"/>
  <c r="A40" i="9"/>
  <c r="A39" i="9"/>
  <c r="M16" i="9"/>
  <c r="D4" i="9" s="1"/>
  <c r="G7" i="15" s="1"/>
  <c r="A9" i="9"/>
  <c r="H8" i="9"/>
  <c r="A8" i="9"/>
  <c r="H7" i="9"/>
  <c r="E35" i="15" l="1"/>
  <c r="E14" i="15"/>
  <c r="E24" i="15"/>
  <c r="H83" i="4"/>
  <c r="H84" i="4"/>
  <c r="H82" i="4"/>
  <c r="L82" i="4" s="1"/>
  <c r="R33" i="9"/>
  <c r="R34" i="9"/>
  <c r="Q29" i="9"/>
  <c r="Q28" i="9"/>
  <c r="Q31" i="9" l="1"/>
  <c r="R31" i="9" s="1"/>
  <c r="R36" i="9" s="1"/>
  <c r="I56" i="5" l="1"/>
  <c r="P56" i="5" s="1"/>
  <c r="Q56" i="5" s="1"/>
  <c r="W56" i="5" s="1"/>
  <c r="B90" i="9" s="1"/>
  <c r="H55" i="5"/>
  <c r="I55" i="5" s="1"/>
  <c r="P55" i="5" s="1"/>
  <c r="Q55" i="5" s="1"/>
  <c r="H54" i="5"/>
  <c r="I54" i="5" s="1"/>
  <c r="P54" i="5" s="1"/>
  <c r="Q54" i="5" s="1"/>
  <c r="H53" i="5"/>
  <c r="I53" i="5" s="1"/>
  <c r="P53" i="5" s="1"/>
  <c r="Q53" i="5" s="1"/>
  <c r="H52" i="5"/>
  <c r="I52" i="5" s="1"/>
  <c r="P52" i="5" s="1"/>
  <c r="Q52" i="5" s="1"/>
  <c r="I51" i="5"/>
  <c r="P51" i="5" s="1"/>
  <c r="Q51" i="5" s="1"/>
  <c r="H51" i="5"/>
  <c r="H50" i="5"/>
  <c r="I50" i="5" s="1"/>
  <c r="P50" i="5" s="1"/>
  <c r="Q50" i="5" s="1"/>
  <c r="H49" i="5"/>
  <c r="I49" i="5" s="1"/>
  <c r="P49" i="5" s="1"/>
  <c r="Q49" i="5" s="1"/>
  <c r="H48" i="5"/>
  <c r="I48" i="5" s="1"/>
  <c r="P48" i="5" s="1"/>
  <c r="H47" i="5"/>
  <c r="I47" i="5" s="1"/>
  <c r="P47" i="5" s="1"/>
  <c r="H46" i="5"/>
  <c r="I46" i="5" s="1"/>
  <c r="I43" i="5"/>
  <c r="P43" i="5" s="1"/>
  <c r="Q43" i="5" s="1"/>
  <c r="W43" i="5" s="1"/>
  <c r="I42" i="5"/>
  <c r="P42" i="5" s="1"/>
  <c r="Q42" i="5" s="1"/>
  <c r="W42" i="5" s="1"/>
  <c r="B39" i="9" s="1"/>
  <c r="H13" i="5"/>
  <c r="I13" i="5" s="1"/>
  <c r="H12" i="5"/>
  <c r="I12" i="5" s="1"/>
  <c r="H11" i="5"/>
  <c r="I11" i="5" s="1"/>
  <c r="H10" i="5"/>
  <c r="I10" i="5" s="1"/>
  <c r="Q47" i="5" l="1"/>
  <c r="T47" i="5"/>
  <c r="W47" i="5" s="1"/>
  <c r="Q48" i="5"/>
  <c r="V48" i="5" s="1"/>
  <c r="T48" i="5"/>
  <c r="X43" i="5"/>
  <c r="B40" i="9"/>
  <c r="J40" i="9" s="1"/>
  <c r="X42" i="5"/>
  <c r="J90" i="9"/>
  <c r="F99" i="4" s="1"/>
  <c r="H99" i="4" s="1"/>
  <c r="C90" i="9"/>
  <c r="E90" i="9"/>
  <c r="F90" i="9" s="1"/>
  <c r="K90" i="9" s="1"/>
  <c r="W53" i="5"/>
  <c r="B87" i="9" s="1"/>
  <c r="W50" i="5"/>
  <c r="B84" i="9" s="1"/>
  <c r="W55" i="5"/>
  <c r="B89" i="9" s="1"/>
  <c r="W51" i="5"/>
  <c r="B85" i="9" s="1"/>
  <c r="X56" i="5"/>
  <c r="W54" i="5"/>
  <c r="B88" i="9" s="1"/>
  <c r="W52" i="5"/>
  <c r="B86" i="9" s="1"/>
  <c r="W49" i="5"/>
  <c r="B83" i="9" s="1"/>
  <c r="W48" i="5" l="1"/>
  <c r="B82" i="9" s="1"/>
  <c r="D82" i="9" s="1"/>
  <c r="E89" i="9"/>
  <c r="E85" i="9"/>
  <c r="X51" i="5"/>
  <c r="X53" i="5"/>
  <c r="E87" i="9" s="1"/>
  <c r="X50" i="5"/>
  <c r="E84" i="9" s="1"/>
  <c r="F84" i="9" s="1"/>
  <c r="F46" i="9"/>
  <c r="K46" i="9" s="1"/>
  <c r="E39" i="9"/>
  <c r="F39" i="9" s="1"/>
  <c r="K39" i="9" s="1"/>
  <c r="J39" i="9" s="1"/>
  <c r="X55" i="5"/>
  <c r="C40" i="9"/>
  <c r="D84" i="9"/>
  <c r="D87" i="9"/>
  <c r="D88" i="9"/>
  <c r="D85" i="9"/>
  <c r="D83" i="9"/>
  <c r="D89" i="9"/>
  <c r="D86" i="9"/>
  <c r="X47" i="5"/>
  <c r="B81" i="9"/>
  <c r="K14" i="9"/>
  <c r="K15" i="9"/>
  <c r="X54" i="5"/>
  <c r="E88" i="9" s="1"/>
  <c r="X52" i="5"/>
  <c r="E86" i="9" s="1"/>
  <c r="X49" i="5"/>
  <c r="E83" i="9" s="1"/>
  <c r="A56" i="5"/>
  <c r="A43" i="5"/>
  <c r="A42" i="5"/>
  <c r="P46" i="5"/>
  <c r="T46" i="5" s="1"/>
  <c r="X48" i="5" l="1"/>
  <c r="E82" i="9" s="1"/>
  <c r="F82" i="9" s="1"/>
  <c r="K82" i="9" s="1"/>
  <c r="J82" i="9" s="1"/>
  <c r="F91" i="4" s="1"/>
  <c r="H91" i="4" s="1"/>
  <c r="L91" i="4" s="1"/>
  <c r="F88" i="9"/>
  <c r="K88" i="9" s="1"/>
  <c r="J88" i="9" s="1"/>
  <c r="F97" i="4" s="1"/>
  <c r="H97" i="4" s="1"/>
  <c r="F87" i="9"/>
  <c r="K87" i="9" s="1"/>
  <c r="J87" i="9" s="1"/>
  <c r="F96" i="4" s="1"/>
  <c r="H96" i="4" s="1"/>
  <c r="F83" i="9"/>
  <c r="K83" i="9" s="1"/>
  <c r="J83" i="9" s="1"/>
  <c r="F92" i="4" s="1"/>
  <c r="H92" i="4" s="1"/>
  <c r="L92" i="4" s="1"/>
  <c r="F85" i="9"/>
  <c r="K85" i="9" s="1"/>
  <c r="J85" i="9" s="1"/>
  <c r="F94" i="4" s="1"/>
  <c r="H94" i="4" s="1"/>
  <c r="L94" i="4" s="1"/>
  <c r="F86" i="9"/>
  <c r="K86" i="9" s="1"/>
  <c r="J86" i="9" s="1"/>
  <c r="F95" i="4" s="1"/>
  <c r="H95" i="4" s="1"/>
  <c r="L95" i="4" s="1"/>
  <c r="F89" i="9"/>
  <c r="K89" i="9" s="1"/>
  <c r="J89" i="9" s="1"/>
  <c r="F98" i="4" s="1"/>
  <c r="H98" i="4" s="1"/>
  <c r="K84" i="9"/>
  <c r="J84" i="9" s="1"/>
  <c r="F93" i="4" s="1"/>
  <c r="H93" i="4" s="1"/>
  <c r="L93" i="4" s="1"/>
  <c r="H81" i="9"/>
  <c r="E81" i="9"/>
  <c r="F41" i="4"/>
  <c r="F42" i="4"/>
  <c r="Q46" i="5"/>
  <c r="V46" i="5" s="1"/>
  <c r="D81" i="9"/>
  <c r="K16" i="9"/>
  <c r="F81" i="9" l="1"/>
  <c r="K81" i="9" s="1"/>
  <c r="J81" i="9" s="1"/>
  <c r="F90" i="4" s="1"/>
  <c r="L50" i="4"/>
  <c r="W46" i="5"/>
  <c r="L84" i="4"/>
  <c r="L83" i="4"/>
  <c r="L55" i="4"/>
  <c r="L54" i="4"/>
  <c r="L53" i="4"/>
  <c r="L52" i="4"/>
  <c r="L51" i="4"/>
  <c r="H42" i="4"/>
  <c r="L42" i="4" s="1"/>
  <c r="H41" i="4"/>
  <c r="L41" i="4" s="1"/>
  <c r="L17" i="4"/>
  <c r="L15" i="4"/>
  <c r="L14" i="4"/>
  <c r="L13" i="4"/>
  <c r="B80" i="9" l="1"/>
  <c r="X46" i="5"/>
  <c r="A33" i="6"/>
  <c r="A32" i="6"/>
  <c r="A31" i="6"/>
  <c r="E80" i="9" l="1"/>
  <c r="D80" i="9"/>
  <c r="H33" i="6"/>
  <c r="I33" i="6" s="1"/>
  <c r="H32" i="6"/>
  <c r="I32" i="6" s="1"/>
  <c r="H31" i="6"/>
  <c r="I31" i="6" s="1"/>
  <c r="H30" i="6"/>
  <c r="I30" i="6" s="1"/>
  <c r="I23" i="6"/>
  <c r="I22" i="6"/>
  <c r="J22" i="6" s="1"/>
  <c r="I21" i="6"/>
  <c r="I20" i="6"/>
  <c r="J20" i="6" s="1"/>
  <c r="I19" i="6"/>
  <c r="J19" i="6" s="1"/>
  <c r="I18" i="6"/>
  <c r="J18" i="6" s="1"/>
  <c r="I17" i="6"/>
  <c r="J17" i="6" s="1"/>
  <c r="I16" i="6"/>
  <c r="J16" i="6" s="1"/>
  <c r="I15" i="6"/>
  <c r="J15" i="6" s="1"/>
  <c r="I14" i="6"/>
  <c r="J14" i="6" s="1"/>
  <c r="I13" i="6"/>
  <c r="J13" i="6" s="1"/>
  <c r="I12" i="6"/>
  <c r="J12" i="6" s="1"/>
  <c r="I11" i="6"/>
  <c r="L11" i="6" s="1"/>
  <c r="I10" i="6"/>
  <c r="L10" i="6" s="1"/>
  <c r="I9" i="6"/>
  <c r="L9" i="6" s="1"/>
  <c r="I8" i="6"/>
  <c r="L8" i="6" s="1"/>
  <c r="I7" i="6"/>
  <c r="L7" i="6" s="1"/>
  <c r="I6" i="6"/>
  <c r="L6" i="6" s="1"/>
  <c r="I5" i="6"/>
  <c r="L5" i="6" s="1"/>
  <c r="L24" i="6" l="1"/>
  <c r="N44" i="6" s="1"/>
  <c r="J23" i="6"/>
  <c r="M23" i="6" s="1"/>
  <c r="J21" i="6"/>
  <c r="M21" i="6" s="1"/>
  <c r="F80" i="9"/>
  <c r="K80" i="9" s="1"/>
  <c r="J80" i="9" s="1"/>
  <c r="F89" i="4" s="1"/>
  <c r="H89" i="4" s="1"/>
  <c r="M13" i="6"/>
  <c r="M17" i="6"/>
  <c r="M14" i="6"/>
  <c r="M18" i="6"/>
  <c r="M15" i="6"/>
  <c r="M19" i="6"/>
  <c r="M22" i="6"/>
  <c r="M12" i="6"/>
  <c r="M16" i="6"/>
  <c r="M20" i="6"/>
  <c r="I24" i="6"/>
  <c r="A25" i="6" l="1"/>
  <c r="C53" i="1"/>
  <c r="B81" i="1" l="1"/>
  <c r="C48" i="1" l="1"/>
  <c r="F12" i="2"/>
  <c r="F11" i="2"/>
  <c r="F10" i="2"/>
  <c r="F9" i="2"/>
  <c r="F8" i="2"/>
  <c r="A1" i="1"/>
  <c r="J55" i="4" l="1"/>
  <c r="J54" i="4"/>
  <c r="J53" i="4"/>
  <c r="J52" i="4"/>
  <c r="J51" i="4"/>
  <c r="J50" i="4"/>
  <c r="J49" i="4"/>
  <c r="J48" i="4"/>
  <c r="J47" i="4"/>
  <c r="J11" i="4"/>
  <c r="J10" i="4"/>
  <c r="J9" i="4"/>
  <c r="L99" i="4"/>
  <c r="L98" i="4"/>
  <c r="L97" i="4"/>
  <c r="L96" i="4"/>
  <c r="H90" i="4"/>
  <c r="L90" i="4" s="1"/>
  <c r="I62" i="12" l="1"/>
  <c r="I62" i="6"/>
  <c r="F7" i="2"/>
  <c r="F6" i="2"/>
  <c r="F5" i="2"/>
  <c r="G12" i="2" l="1"/>
  <c r="G11" i="2"/>
  <c r="G10" i="2"/>
  <c r="G9" i="2"/>
  <c r="G8" i="2"/>
  <c r="D13" i="10"/>
  <c r="D12" i="10"/>
  <c r="D11" i="10"/>
  <c r="D10" i="10"/>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G7" i="2" l="1"/>
  <c r="G6" i="2"/>
  <c r="G5" i="2"/>
  <c r="I5" i="2" s="1"/>
  <c r="S12" i="3"/>
  <c r="E11" i="10" s="1"/>
  <c r="S11" i="3"/>
  <c r="E10" i="10" s="1"/>
  <c r="S13" i="3"/>
  <c r="E12" i="10" s="1"/>
  <c r="S10" i="3"/>
  <c r="E9" i="10" s="1"/>
  <c r="I6" i="2" l="1"/>
  <c r="J6" i="2" s="1"/>
  <c r="D9" i="10"/>
  <c r="C41" i="1"/>
  <c r="C56" i="1" s="1"/>
  <c r="L89" i="4" l="1"/>
  <c r="A9" i="4" l="1"/>
  <c r="A30" i="6" l="1"/>
  <c r="A7" i="9"/>
  <c r="H30" i="12"/>
  <c r="I30" i="12" s="1"/>
  <c r="I60" i="12" l="1"/>
  <c r="N31" i="12"/>
  <c r="J11" i="12" l="1"/>
  <c r="M11" i="12" s="1"/>
  <c r="J6" i="12"/>
  <c r="M6" i="12" s="1"/>
  <c r="J10" i="12"/>
  <c r="M10" i="12" s="1"/>
  <c r="J7" i="12"/>
  <c r="M7" i="12" s="1"/>
  <c r="J5" i="12"/>
  <c r="M5" i="12" s="1"/>
  <c r="J9" i="12"/>
  <c r="M9" i="12" s="1"/>
  <c r="J8" i="12"/>
  <c r="M8" i="12" s="1"/>
  <c r="M24" i="12" l="1"/>
  <c r="N30" i="12" s="1"/>
  <c r="N34" i="12" s="1"/>
  <c r="C75" i="12" l="1"/>
  <c r="F75" i="12" s="1"/>
  <c r="G75" i="12" s="1"/>
  <c r="G76" i="12" s="1"/>
  <c r="N36" i="12" s="1"/>
  <c r="N38" i="12" s="1"/>
  <c r="M12" i="11" s="1"/>
  <c r="O12" i="11" s="1"/>
  <c r="S12" i="11" s="1"/>
  <c r="P12" i="11" l="1"/>
  <c r="U12" i="11" s="1"/>
  <c r="O40" i="11"/>
  <c r="P40" i="11" s="1"/>
  <c r="V40" i="11" s="1"/>
  <c r="M11" i="11"/>
  <c r="O11" i="11" s="1"/>
  <c r="S11" i="11" s="1"/>
  <c r="M10" i="11"/>
  <c r="O10" i="11" s="1"/>
  <c r="S10" i="11" s="1"/>
  <c r="O41" i="11"/>
  <c r="P41" i="11" s="1"/>
  <c r="V41" i="11" s="1"/>
  <c r="V12" i="11" l="1"/>
  <c r="B45" i="9" s="1"/>
  <c r="W41" i="11"/>
  <c r="B74" i="9"/>
  <c r="P10" i="11"/>
  <c r="U10" i="11" s="1"/>
  <c r="P11" i="11"/>
  <c r="U11" i="11" s="1"/>
  <c r="B73" i="9"/>
  <c r="W40" i="11"/>
  <c r="W12" i="11" l="1"/>
  <c r="E45" i="9" s="1"/>
  <c r="F45" i="9" s="1"/>
  <c r="K45" i="9" s="1"/>
  <c r="J45" i="9" s="1"/>
  <c r="F49" i="4" s="1"/>
  <c r="H49" i="4" s="1"/>
  <c r="L49" i="4" s="1"/>
  <c r="D45" i="9"/>
  <c r="V11" i="11"/>
  <c r="W11" i="11" s="1"/>
  <c r="E74" i="9"/>
  <c r="F74" i="9" s="1"/>
  <c r="D74" i="9"/>
  <c r="D73" i="9"/>
  <c r="E73" i="9"/>
  <c r="F73" i="9" s="1"/>
  <c r="J73" i="9" s="1"/>
  <c r="F80" i="4" s="1"/>
  <c r="H80" i="4" s="1"/>
  <c r="V10" i="11"/>
  <c r="L80" i="4" l="1"/>
  <c r="J80" i="4"/>
  <c r="B44" i="9"/>
  <c r="E44" i="9" s="1"/>
  <c r="F44" i="9" s="1"/>
  <c r="K44" i="9" s="1"/>
  <c r="J74" i="9"/>
  <c r="F81" i="4" s="1"/>
  <c r="H81" i="4" s="1"/>
  <c r="B43" i="9"/>
  <c r="W10" i="11"/>
  <c r="L81" i="4" l="1"/>
  <c r="J81" i="4"/>
  <c r="D44" i="9"/>
  <c r="J44" i="9" s="1"/>
  <c r="F48" i="4" s="1"/>
  <c r="H48" i="4" s="1"/>
  <c r="L48" i="4" s="1"/>
  <c r="D43" i="9"/>
  <c r="E43" i="9"/>
  <c r="F43" i="9" s="1"/>
  <c r="K43" i="9" s="1"/>
  <c r="J43" i="9" s="1"/>
  <c r="F47" i="4" s="1"/>
  <c r="H47" i="4" s="1"/>
  <c r="Q6" i="4" l="1"/>
  <c r="I46" i="4"/>
  <c r="L47" i="4"/>
  <c r="G8" i="15" l="1"/>
  <c r="E30" i="1"/>
  <c r="J46" i="4" l="1"/>
  <c r="K46" i="4" s="1"/>
  <c r="C30" i="1"/>
  <c r="F14" i="15"/>
  <c r="F24" i="15"/>
  <c r="F35" i="15"/>
  <c r="F22" i="1" l="1"/>
  <c r="G29" i="1" s="1"/>
  <c r="N45" i="12"/>
  <c r="N46" i="12" s="1"/>
  <c r="I60" i="6"/>
  <c r="N31" i="6"/>
  <c r="G30" i="1" l="1"/>
  <c r="G22" i="1"/>
  <c r="H22" i="1" s="1"/>
  <c r="J7" i="6"/>
  <c r="M7" i="6" s="1"/>
  <c r="J11" i="6"/>
  <c r="M11" i="6" s="1"/>
  <c r="J8" i="6"/>
  <c r="M8" i="6" s="1"/>
  <c r="J10" i="6"/>
  <c r="M10" i="6" s="1"/>
  <c r="J9" i="6"/>
  <c r="M9" i="6" s="1"/>
  <c r="J5" i="6"/>
  <c r="M5" i="6" s="1"/>
  <c r="J6" i="6"/>
  <c r="M6" i="6" s="1"/>
  <c r="M24" i="6" l="1"/>
  <c r="N30" i="6" s="1"/>
  <c r="N34" i="6" s="1"/>
  <c r="C75" i="6" l="1"/>
  <c r="F75" i="6" s="1"/>
  <c r="G75" i="6" s="1"/>
  <c r="G76" i="6" s="1"/>
  <c r="N36" i="6" s="1"/>
  <c r="N38" i="6" s="1"/>
  <c r="N13" i="5" s="1"/>
  <c r="P13" i="5" s="1"/>
  <c r="T13" i="5" s="1"/>
  <c r="Q13" i="5" l="1"/>
  <c r="V13" i="5" s="1"/>
  <c r="P41" i="5"/>
  <c r="Q41" i="5" s="1"/>
  <c r="W41" i="5" s="1"/>
  <c r="N12" i="5"/>
  <c r="P12" i="5" s="1"/>
  <c r="T12" i="5" s="1"/>
  <c r="P40" i="5"/>
  <c r="Q40" i="5" s="1"/>
  <c r="W40" i="5" s="1"/>
  <c r="N10" i="5"/>
  <c r="P10" i="5" s="1"/>
  <c r="T10" i="5" s="1"/>
  <c r="N11" i="5"/>
  <c r="P11" i="5" s="1"/>
  <c r="T11" i="5" s="1"/>
  <c r="W13" i="5" l="1"/>
  <c r="Q10" i="5"/>
  <c r="V10" i="5" s="1"/>
  <c r="X40" i="5"/>
  <c r="B37" i="9"/>
  <c r="Q11" i="5"/>
  <c r="V11" i="5" s="1"/>
  <c r="Q12" i="5"/>
  <c r="V12" i="5" s="1"/>
  <c r="B38" i="9"/>
  <c r="X41" i="5"/>
  <c r="B10" i="9" l="1"/>
  <c r="X13" i="5"/>
  <c r="W11" i="5"/>
  <c r="B8" i="9" s="1"/>
  <c r="W10" i="5"/>
  <c r="B7" i="9" s="1"/>
  <c r="D37" i="9"/>
  <c r="E37" i="9"/>
  <c r="F37" i="9" s="1"/>
  <c r="W12" i="5"/>
  <c r="E38" i="9"/>
  <c r="F38" i="9" s="1"/>
  <c r="D38" i="9"/>
  <c r="K38" i="9" l="1"/>
  <c r="J38" i="9" s="1"/>
  <c r="F40" i="4" s="1"/>
  <c r="H40" i="4" s="1"/>
  <c r="L40" i="4" s="1"/>
  <c r="K37" i="9"/>
  <c r="J37" i="9" s="1"/>
  <c r="F39" i="4" s="1"/>
  <c r="H39" i="4" s="1"/>
  <c r="L39" i="4" s="1"/>
  <c r="E10" i="9"/>
  <c r="F10" i="9" s="1"/>
  <c r="K10" i="9" s="1"/>
  <c r="D10" i="9"/>
  <c r="X11" i="5"/>
  <c r="E8" i="9" s="1"/>
  <c r="F8" i="9" s="1"/>
  <c r="X10" i="5"/>
  <c r="E7" i="9" s="1"/>
  <c r="F7" i="9" s="1"/>
  <c r="K7" i="9" s="1"/>
  <c r="J7" i="9" s="1"/>
  <c r="F9" i="4" s="1"/>
  <c r="H9" i="4" s="1"/>
  <c r="L9" i="4" s="1"/>
  <c r="D7" i="9"/>
  <c r="X12" i="5"/>
  <c r="B9" i="9"/>
  <c r="D8" i="9"/>
  <c r="K8" i="9" l="1"/>
  <c r="J8" i="9" s="1"/>
  <c r="F10" i="4" s="1"/>
  <c r="H10" i="4" s="1"/>
  <c r="L10" i="4" s="1"/>
  <c r="J10" i="9"/>
  <c r="F12" i="4" s="1"/>
  <c r="H12" i="4" s="1"/>
  <c r="L12" i="4" s="1"/>
  <c r="E9" i="9"/>
  <c r="F9" i="9" s="1"/>
  <c r="K9" i="9" s="1"/>
  <c r="D9" i="9"/>
  <c r="J9" i="9" l="1"/>
  <c r="F11" i="4" s="1"/>
  <c r="H11" i="4" s="1"/>
  <c r="P6" i="4" s="1"/>
  <c r="J40" i="4" s="1"/>
  <c r="I8" i="4" l="1"/>
  <c r="D29" i="1" s="1"/>
  <c r="L11" i="4"/>
  <c r="J39" i="4"/>
  <c r="C44" i="4" s="1"/>
  <c r="I88" i="4"/>
  <c r="C31" i="1" s="1"/>
  <c r="L44" i="4" l="1"/>
  <c r="J8" i="4"/>
  <c r="K8" i="4" s="1"/>
  <c r="N45" i="6" s="1"/>
  <c r="N46" i="6" s="1"/>
  <c r="I102" i="4"/>
  <c r="N20" i="9" s="1"/>
  <c r="C4" i="13" s="1"/>
  <c r="C15" i="13" s="1"/>
  <c r="C33" i="1" s="1"/>
  <c r="C29" i="1"/>
  <c r="E28" i="1"/>
  <c r="E31" i="1" s="1"/>
  <c r="D28" i="1"/>
  <c r="D33" i="1" l="1"/>
  <c r="D36" i="1"/>
  <c r="E36" i="1"/>
  <c r="F20" i="1"/>
  <c r="E33" i="1"/>
  <c r="G33" i="1" s="1"/>
  <c r="E51" i="1"/>
  <c r="E32" i="1"/>
  <c r="G32" i="1" s="1"/>
  <c r="G31" i="1"/>
  <c r="D51" i="1"/>
  <c r="D32" i="1"/>
  <c r="D31" i="1"/>
  <c r="F30" i="1" l="1"/>
  <c r="G20" i="1"/>
  <c r="H20" i="1" s="1"/>
  <c r="F29" i="1"/>
  <c r="F32" i="1"/>
  <c r="E44" i="1"/>
  <c r="E45" i="1"/>
  <c r="G45" i="1" s="1"/>
  <c r="E47" i="1"/>
  <c r="G47" i="1" s="1"/>
  <c r="E37" i="1"/>
  <c r="G37" i="1" s="1"/>
  <c r="E46" i="1"/>
  <c r="G46" i="1" s="1"/>
  <c r="E41" i="1"/>
  <c r="G41" i="1" s="1"/>
  <c r="E38" i="1"/>
  <c r="G38" i="1" s="1"/>
  <c r="E52" i="1"/>
  <c r="G52" i="1" s="1"/>
  <c r="E40" i="1"/>
  <c r="G40" i="1" s="1"/>
  <c r="E39" i="1"/>
  <c r="G39" i="1" s="1"/>
  <c r="D45" i="1"/>
  <c r="F45" i="1" s="1"/>
  <c r="D46" i="1"/>
  <c r="F46" i="1" s="1"/>
  <c r="D38" i="1"/>
  <c r="F38" i="1" s="1"/>
  <c r="D47" i="1"/>
  <c r="F47" i="1" s="1"/>
  <c r="D41" i="1"/>
  <c r="F41" i="1" s="1"/>
  <c r="D40" i="1"/>
  <c r="F40" i="1" s="1"/>
  <c r="D44" i="1"/>
  <c r="D39" i="1"/>
  <c r="F39" i="1" s="1"/>
  <c r="D37" i="1"/>
  <c r="F37" i="1" s="1"/>
  <c r="D52" i="1"/>
  <c r="F52" i="1" s="1"/>
  <c r="F33" i="1"/>
  <c r="E34" i="1"/>
  <c r="G34" i="1" s="1"/>
  <c r="G55" i="1" s="1"/>
  <c r="F31" i="1"/>
  <c r="D34" i="1"/>
  <c r="F51" i="1"/>
  <c r="G51" i="1"/>
  <c r="E55" i="1" l="1"/>
  <c r="D53" i="1"/>
  <c r="F53" i="1" s="1"/>
  <c r="D48" i="1"/>
  <c r="F48" i="1" s="1"/>
  <c r="G44" i="1"/>
  <c r="E48" i="1"/>
  <c r="G48" i="1" s="1"/>
  <c r="F44" i="1"/>
  <c r="E53" i="1"/>
  <c r="G53" i="1" s="1"/>
  <c r="C34" i="1"/>
  <c r="C55" i="1" s="1"/>
  <c r="C58" i="1" s="1"/>
  <c r="D55" i="1"/>
  <c r="F34" i="1"/>
  <c r="F55" i="1" s="1"/>
  <c r="F56" i="1" l="1"/>
  <c r="F58" i="1" s="1"/>
  <c r="D56" i="1"/>
  <c r="D58" i="1" s="1"/>
  <c r="D61" i="1" s="1"/>
  <c r="U8" i="3" s="1"/>
  <c r="Q7" i="3" s="1"/>
  <c r="G56" i="1"/>
  <c r="G58" i="1" s="1"/>
  <c r="E56" i="1"/>
  <c r="E58" i="1" s="1"/>
  <c r="E61" i="1" s="1"/>
  <c r="E78" i="1" l="1"/>
  <c r="V8" i="3"/>
  <c r="L6" i="2"/>
  <c r="J5" i="2" s="1"/>
  <c r="D6" i="10" s="1"/>
  <c r="E77" i="1"/>
  <c r="D65" i="1"/>
  <c r="E75" i="1"/>
  <c r="F19" i="1"/>
  <c r="G19" i="1" s="1"/>
  <c r="H19" i="1" s="1"/>
  <c r="F21" i="1"/>
  <c r="G21" i="1" s="1"/>
  <c r="H21" i="1" s="1"/>
  <c r="D7" i="10"/>
  <c r="D8" i="10"/>
  <c r="D72" i="1" l="1"/>
  <c r="D71" i="1"/>
  <c r="D70" i="1"/>
  <c r="D69" i="1"/>
  <c r="D68" i="1"/>
  <c r="D67" i="1"/>
  <c r="D66" i="1"/>
  <c r="S8" i="3"/>
  <c r="E7" i="10" s="1"/>
  <c r="S9" i="3"/>
  <c r="E8" i="10" s="1"/>
  <c r="S7" i="3"/>
  <c r="E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Hißnauer, Stefan (bpa)</author>
  </authors>
  <commentList>
    <comment ref="C12" authorId="0" shapeId="0" xr:uid="{00000000-0006-0000-0000-000001000000}">
      <text>
        <r>
          <rPr>
            <sz val="9"/>
            <color indexed="81"/>
            <rFont val="Segoe UI"/>
            <family val="2"/>
          </rPr>
          <t xml:space="preserve">z.B.: AWO, bpa, caritas, Diakonie, DRK, JW, Parität, VDAB, etc.
</t>
        </r>
      </text>
    </comment>
    <comment ref="C15" authorId="0" shapeId="0" xr:uid="{00000000-0006-0000-0000-000002000000}">
      <text>
        <r>
          <rPr>
            <sz val="9"/>
            <color indexed="81"/>
            <rFont val="Segoe UI"/>
            <family val="2"/>
          </rPr>
          <t>Der Auslastungsgrad wird für den Kalkulationszeitraum vereinbart.
Das wirtschaftliche Risiko der Einrichtungen und Dienste ist bei der Bemessung des Auslastungsgrades zu berücksichtigen, um ihnen wirtschaftliches
Handeln zu ermöglichen.</t>
        </r>
      </text>
    </comment>
    <comment ref="C16" authorId="0" shapeId="0" xr:uid="{00000000-0006-0000-0000-000003000000}">
      <text>
        <r>
          <rPr>
            <sz val="9"/>
            <color indexed="81"/>
            <rFont val="Segoe UI"/>
            <family val="2"/>
          </rPr>
          <t>Der Auslastungsgrad wird für den Kalkulationszeitraum vereinbart.
Das wirtschaftliche Risiko der Einrichtungen und Dienste ist bei der Bemessung des Auslastungsgrades zu berücksichtigen, um ihnen wirtschaftliches
Handeln zu ermöglichen.</t>
        </r>
      </text>
    </comment>
    <comment ref="D28" authorId="0" shapeId="0" xr:uid="{00000000-0006-0000-0000-000004000000}">
      <text>
        <r>
          <rPr>
            <sz val="9"/>
            <color indexed="81"/>
            <rFont val="Segoe UI"/>
            <family val="2"/>
          </rPr>
          <t>Gewichtung Verhältnis Personalkosten</t>
        </r>
      </text>
    </comment>
    <comment ref="E28" authorId="0" shapeId="0" xr:uid="{00000000-0006-0000-0000-000005000000}">
      <text>
        <r>
          <rPr>
            <sz val="9"/>
            <color indexed="81"/>
            <rFont val="Segoe UI"/>
            <family val="2"/>
          </rPr>
          <t>Gewichtung Verhältnis Personalkosten</t>
        </r>
      </text>
    </comment>
    <comment ref="B32" authorId="0" shapeId="0" xr:uid="{00000000-0006-0000-0000-000006000000}">
      <text>
        <r>
          <rPr>
            <sz val="9"/>
            <color indexed="81"/>
            <rFont val="Segoe UI"/>
            <family val="2"/>
          </rPr>
          <t xml:space="preserve">Sofern nach den einschlägigen Arbeitnehmer:innenvertretungs-gesetzen Freistellungen für die Wahrnehmung der Aufgaben von Mitarbeitendenvertretungen vorgesehen sind, werden die dafür entstehenden Kosten gesondert einkalkuliert.
</t>
        </r>
      </text>
    </comment>
    <comment ref="B36" authorId="0" shapeId="0" xr:uid="{00000000-0006-0000-0000-000007000000}">
      <text>
        <r>
          <rPr>
            <sz val="9"/>
            <color indexed="81"/>
            <rFont val="Segoe UI"/>
            <family val="2"/>
          </rPr>
          <t>Die sächliche Ausstattung umfasst alle Sachkosten, die zur Erbringung der jeweiligen Fachleistung erforderlich und nicht durch die leistungsberechtigten Personen selbst aus eigenen Mitteln bereitzustellen sind.</t>
        </r>
      </text>
    </comment>
    <comment ref="D36" authorId="0" shapeId="0" xr:uid="{00000000-0006-0000-0000-000008000000}">
      <text>
        <r>
          <rPr>
            <sz val="9"/>
            <color indexed="81"/>
            <rFont val="Segoe UI"/>
            <family val="2"/>
          </rPr>
          <t>Gewichtung Jahresarbeitsstunden</t>
        </r>
      </text>
    </comment>
    <comment ref="E36" authorId="0" shapeId="0" xr:uid="{00000000-0006-0000-0000-000009000000}">
      <text>
        <r>
          <rPr>
            <sz val="9"/>
            <color indexed="81"/>
            <rFont val="Segoe UI"/>
            <family val="2"/>
          </rPr>
          <t>Gewichtung Jahresarbeitsstunden</t>
        </r>
      </text>
    </comment>
    <comment ref="B51" authorId="0" shapeId="0" xr:uid="{00000000-0006-0000-0000-00000A000000}">
      <text>
        <r>
          <rPr>
            <sz val="9"/>
            <color indexed="81"/>
            <rFont val="Segoe UI"/>
            <family val="2"/>
          </rPr>
          <t>Gewichtung Verhältnis Personalkosten</t>
        </r>
      </text>
    </comment>
    <comment ref="B52" authorId="0" shapeId="0" xr:uid="{00000000-0006-0000-0000-00000B000000}">
      <text>
        <r>
          <rPr>
            <sz val="9"/>
            <color indexed="81"/>
            <rFont val="Segoe UI"/>
            <family val="2"/>
          </rPr>
          <t>Gewichtung Jahresarbeitsstunden</t>
        </r>
      </text>
    </comment>
    <comment ref="D64" authorId="0" shapeId="0" xr:uid="{00000000-0006-0000-0000-00000C000000}">
      <text>
        <r>
          <rPr>
            <sz val="9"/>
            <color indexed="81"/>
            <rFont val="Segoe UI"/>
            <family val="2"/>
          </rPr>
          <t>Zur Ermittlung der kalendertäglichen Vergütung je Leistungsgruppe wird der vergütete Stundenwert mit dem vereinbarten Stundensatz multipliziert und durch 7 Wochentage dividiert.</t>
        </r>
      </text>
    </comment>
    <comment ref="B77" authorId="0" shapeId="0" xr:uid="{00000000-0006-0000-0000-00000D000000}">
      <text>
        <r>
          <rPr>
            <sz val="9"/>
            <color indexed="81"/>
            <rFont val="Segoe UI"/>
            <family val="2"/>
          </rPr>
          <t>Stundensatz qA/60/7*prozentualer Fahrtzeitenzuschlag</t>
        </r>
      </text>
    </comment>
    <comment ref="F77" authorId="0" shapeId="0" xr:uid="{00000000-0006-0000-0000-00000E000000}">
      <text>
        <r>
          <rPr>
            <sz val="9"/>
            <color indexed="81"/>
            <rFont val="Segoe UI"/>
            <family val="2"/>
          </rPr>
          <t>Für die Vereinbarung zum 01.07.2023 wird ein prozentualer Fahrtzeitanteil gebildet. Bezogen auf die jeweiligen Leistungsstunden ergibt sich hessenweit ein Zuschlag von 14,05 Prozent für die bewilligten aufsuchenden qualifizierten Assistenzleistungen beziehungsweise ein Zuschlag von 13,42 Prozent für die bewilligten aufsuchenden kompensatorischen Assistenzleistungen.
Mit Ablauf der Vergütungsvereinbarung kann der prozentuale Zuschlagswert zwischen den Vereinbarungspartnern aufgrund der jeweiligen Rahmenbedingungen auf Basis der Kalkulation neu verhandelt und vereinbart werden, wenn der Zuschlagswert den Ausgangswert der jeweiligen Assistenzleistung um einen Prozentpunkt über- oder unterschreitet.</t>
        </r>
      </text>
    </comment>
    <comment ref="B78" authorId="0" shapeId="0" xr:uid="{00000000-0006-0000-0000-00000F000000}">
      <text>
        <r>
          <rPr>
            <sz val="9"/>
            <color indexed="81"/>
            <rFont val="Segoe UI"/>
            <family val="2"/>
          </rPr>
          <t>Stundensatz kA/60/7*prozentualer Fahrtzeitenzuschlag</t>
        </r>
      </text>
    </comment>
    <comment ref="F78" authorId="0" shapeId="0" xr:uid="{00000000-0006-0000-0000-000010000000}">
      <text>
        <r>
          <rPr>
            <sz val="9"/>
            <color indexed="81"/>
            <rFont val="Segoe UI"/>
            <family val="2"/>
          </rPr>
          <t>Für die Vereinbarung zum 01.07.2023 wird ein prozentualer Fahrtzeitanteil gebildet. Bezogen auf die jeweiligen Leistungsstunden ergibt sich hessenweit ein Zuschlag von 14,05 Prozent für die bewilligten aufsuchenden qualifizierten Assistenzleistungen beziehungsweise ein Zuschlag von 13,42 Prozent für die bewilligten aufsuchenden kompensatorischen Assistenzleistungen.
Mit Ablauf der Vergütungsvereinbarung kann der prozentuale Zuschlagswert zwischen den Vereinbarungspartnern aufgrund der jeweiligen Rahmenbedingungen auf Basis der Kalkulation neu verhandelt und vereinbart werden, wenn der Zuschlagswert den Ausgangswert der jeweiligen Assistenzleistung um einen Prozentpunkt über- oder unterschreitet.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Hißnauer, Stefan (bpa)</author>
  </authors>
  <commentList>
    <comment ref="B5" authorId="0" shapeId="0" xr:uid="{00000000-0006-0000-0B00-000001000000}">
      <text>
        <r>
          <rPr>
            <b/>
            <sz val="9"/>
            <color indexed="81"/>
            <rFont val="Segoe UI"/>
            <family val="2"/>
          </rPr>
          <t xml:space="preserve">Als Orientierung:
Reinigung: 75,00% Personalkosten (25,00% Sachkosten)
</t>
        </r>
        <r>
          <rPr>
            <sz val="9"/>
            <color indexed="81"/>
            <rFont val="Segoe UI"/>
            <family val="2"/>
          </rPr>
          <t xml:space="preserve">
Beschluss der AG stationäre Pflege in Hessen vom 21.11.2018</t>
        </r>
      </text>
    </comment>
    <comment ref="E7" authorId="0" shapeId="0" xr:uid="{00000000-0006-0000-0B00-000002000000}">
      <text>
        <r>
          <rPr>
            <sz val="9"/>
            <color indexed="81"/>
            <rFont val="Segoe UI"/>
            <family val="2"/>
          </rPr>
          <t>ohne Jahressonderzahlung, zusätzliche Altersversorgung, weitere Personalnebenkosten etc. Mindeslohn*Jahresarbeitszeit zzgl. Sozialversicherungsanteil gem. Kalkulation</t>
        </r>
      </text>
    </comment>
    <comment ref="B8" authorId="0" shapeId="0" xr:uid="{00000000-0006-0000-0B00-000003000000}">
      <text>
        <r>
          <rPr>
            <sz val="9"/>
            <color indexed="81"/>
            <rFont val="Segoe UI"/>
            <family val="2"/>
          </rPr>
          <t>bewohnerbezogene Flächen
siehe Trennungsdatei bzw. Anlage 5</t>
        </r>
      </text>
    </comment>
    <comment ref="B9" authorId="0" shapeId="0" xr:uid="{00000000-0006-0000-0B00-000004000000}">
      <text>
        <r>
          <rPr>
            <sz val="9"/>
            <color indexed="81"/>
            <rFont val="Segoe UI"/>
            <family val="2"/>
          </rPr>
          <t>Bestandteil der KdU
(mietrelevante Flächen)
siehe Trennungsdatei bzw. Anlage 5</t>
        </r>
      </text>
    </comment>
    <comment ref="B10" authorId="0" shapeId="0" xr:uid="{00000000-0006-0000-0B00-000005000000}">
      <text>
        <r>
          <rPr>
            <sz val="9"/>
            <color indexed="81"/>
            <rFont val="Segoe UI"/>
            <family val="2"/>
          </rPr>
          <t>siehe Trennungsdatei bzw. Anlage 5</t>
        </r>
      </text>
    </comment>
    <comment ref="B19" authorId="0" shapeId="0" xr:uid="{00000000-0006-0000-0B00-000006000000}">
      <text>
        <r>
          <rPr>
            <b/>
            <sz val="9"/>
            <color indexed="81"/>
            <rFont val="Segoe UI"/>
            <family val="2"/>
          </rPr>
          <t xml:space="preserve">Als Orientierung:
Wäscherei: 45,00% Personalkosten (55,00% Sachkosten)
</t>
        </r>
        <r>
          <rPr>
            <sz val="9"/>
            <color indexed="81"/>
            <rFont val="Segoe UI"/>
            <family val="2"/>
          </rPr>
          <t xml:space="preserve">
Beschluss der AG stationäre Pflege in Hessen vom 21.11.2018</t>
        </r>
      </text>
    </comment>
    <comment ref="B30" authorId="0" shapeId="0" xr:uid="{00000000-0006-0000-0B00-000007000000}">
      <text>
        <r>
          <rPr>
            <sz val="9"/>
            <color indexed="81"/>
            <rFont val="Segoe UI"/>
            <family val="2"/>
          </rPr>
          <t>für die weitere Kalkulation nicht weiter relevant</t>
        </r>
      </text>
    </comment>
    <comment ref="B31" authorId="0" shapeId="0" xr:uid="{00000000-0006-0000-0B00-000008000000}">
      <text>
        <r>
          <rPr>
            <b/>
            <sz val="9"/>
            <color indexed="81"/>
            <rFont val="Segoe UI"/>
            <family val="2"/>
          </rPr>
          <t xml:space="preserve">Als Orientierung:
Küche: 37,50% Personalkosten (62,50% Sachkosten)
</t>
        </r>
        <r>
          <rPr>
            <sz val="9"/>
            <color indexed="81"/>
            <rFont val="Segoe UI"/>
            <family val="2"/>
          </rPr>
          <t xml:space="preserve">
Beschluss der AG stationäre Pflege in Hessen vom 21.11.2018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Hißnauer, Stefan (bpa)</author>
    <author>Autor</author>
  </authors>
  <commentList>
    <comment ref="P4" authorId="0" shapeId="0" xr:uid="{00000000-0006-0000-0100-000001000000}">
      <text>
        <r>
          <rPr>
            <sz val="9"/>
            <color indexed="81"/>
            <rFont val="Segoe UI"/>
            <family val="2"/>
          </rPr>
          <t xml:space="preserve">Die Anrechnung von Stellenanteilen von Auszubildenden und Studierenden erfolgt im Verhältnis der dem Leistungserbringer entstehenden Personalkosten der Auszubildenden beziehungsweise Studierenden zu den durchschnittlichen Personalkosten des eigenen Personals der entsprechenden Assistenzform.
</t>
        </r>
      </text>
    </comment>
    <comment ref="J39" authorId="0" shapeId="0" xr:uid="{00000000-0006-0000-0100-000002000000}">
      <text>
        <r>
          <rPr>
            <b/>
            <sz val="9"/>
            <color indexed="81"/>
            <rFont val="Segoe UI"/>
            <family val="2"/>
          </rPr>
          <t>Punkt 2.7.2.4 Abs. 2 RV 3:</t>
        </r>
        <r>
          <rPr>
            <sz val="9"/>
            <color indexed="81"/>
            <rFont val="Segoe UI"/>
            <family val="2"/>
          </rPr>
          <t xml:space="preserve">
Die Anrechnung von Stellenanteilen erfolgt im Verhältnis der dem Leistungserbringer entstehenden Personalkosten der Auszubildenden beziehungsweise Studierenden zu den durchschnittlichen Personalkosten der entsprechenden Assistenzform.</t>
        </r>
      </text>
    </comment>
    <comment ref="J40" authorId="0" shapeId="0" xr:uid="{00000000-0006-0000-0100-000003000000}">
      <text>
        <r>
          <rPr>
            <b/>
            <sz val="9"/>
            <color indexed="81"/>
            <rFont val="Segoe UI"/>
            <family val="2"/>
          </rPr>
          <t xml:space="preserve">Punkt 2.7.2.4 Abs. 2 RV 3:
</t>
        </r>
        <r>
          <rPr>
            <sz val="9"/>
            <color indexed="81"/>
            <rFont val="Segoe UI"/>
            <family val="2"/>
          </rPr>
          <t>Die Anrechnung von Stellenanteilen erfolgt im Verhältnis der dem Leistungserbringer entstehenden Personalkosten der Auszubildenden beziehungsweise Studierenden zu den durchschnittlichen Personalkosten der entsprechenden Assistenzform.</t>
        </r>
      </text>
    </comment>
    <comment ref="J80" authorId="0" shapeId="0" xr:uid="{00000000-0006-0000-0100-000004000000}">
      <text>
        <r>
          <rPr>
            <b/>
            <sz val="9"/>
            <color indexed="81"/>
            <rFont val="Segoe UI"/>
            <family val="2"/>
          </rPr>
          <t>Punkt 2.7.2.4 Abs. 2 RV 3:</t>
        </r>
        <r>
          <rPr>
            <sz val="9"/>
            <color indexed="81"/>
            <rFont val="Segoe UI"/>
            <family val="2"/>
          </rPr>
          <t xml:space="preserve">
Die Anrechnung von Stellenanteilen erfolgt im Verhältnis der dem Leistungserbringer entstehenden Personalkosten der Auszubildenden beziehungsweise Studierenden zu den durchschnittlichen Personalkosten der entsprechenden Assistenzform.
</t>
        </r>
      </text>
    </comment>
    <comment ref="J81" authorId="0" shapeId="0" xr:uid="{00000000-0006-0000-0100-000005000000}">
      <text>
        <r>
          <rPr>
            <b/>
            <sz val="9"/>
            <color indexed="81"/>
            <rFont val="Segoe UI"/>
            <family val="2"/>
          </rPr>
          <t>Punkt 2.7.2.4 Abs. 2 RV 3:</t>
        </r>
        <r>
          <rPr>
            <sz val="9"/>
            <color indexed="81"/>
            <rFont val="Segoe UI"/>
            <family val="2"/>
          </rPr>
          <t xml:space="preserve">
Die Anrechnung von Stellenanteilen erfolgt im Verhältnis der dem Leistungserbringer entstehenden Personalkosten der Auszubildenden beziehungsweise Studierenden zu den durchschnittlichen Personalkosten der entsprechenden Assistenzform.</t>
        </r>
      </text>
    </comment>
    <comment ref="A88" authorId="1" shapeId="0" xr:uid="{00000000-0006-0000-0100-000006000000}">
      <text>
        <r>
          <rPr>
            <b/>
            <sz val="8"/>
            <color indexed="81"/>
            <rFont val="Tahoma"/>
            <family val="2"/>
          </rPr>
          <t>Bei Auswahl der Pauschale bitte Prozentsatz eingeben</t>
        </r>
        <r>
          <rPr>
            <sz val="8"/>
            <color indexed="81"/>
            <rFont val="Tahoma"/>
            <family val="2"/>
          </rPr>
          <t xml:space="preserve">
Die Pauschale umfasst auch Kosten für Leistungen von Leitung und Verwaltung, die über zentrale interne Dienste oder externe Dienste bezogen werden sowie Kosten des Facility Managements der Strukturflächen und gesondert vorgehaltenen Flächen.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Stefan Gerland</author>
    <author>Autor</author>
    <author>Hißnauer, Stefan (bpa)</author>
  </authors>
  <commentList>
    <comment ref="C6" authorId="0" shapeId="0" xr:uid="{00000000-0006-0000-0200-000001000000}">
      <text>
        <r>
          <rPr>
            <b/>
            <sz val="8"/>
            <color indexed="81"/>
            <rFont val="Tahoma"/>
            <family val="2"/>
          </rPr>
          <t>Mitarbeiter die nicht nach Tarifvertrag vergütet werden - Bitte AT eintragen</t>
        </r>
        <r>
          <rPr>
            <sz val="8"/>
            <color indexed="81"/>
            <rFont val="Tahoma"/>
            <family val="2"/>
          </rPr>
          <t xml:space="preserve">
</t>
        </r>
      </text>
    </comment>
    <comment ref="J6" authorId="1" shapeId="0" xr:uid="{00000000-0006-0000-0200-000002000000}">
      <text>
        <r>
          <rPr>
            <sz val="8"/>
            <color indexed="81"/>
            <rFont val="Tahoma"/>
            <family val="2"/>
          </rPr>
          <t>Hierzu zählen u. a. tarifliche Kinder- und Familienzulagen, Zulage gemäß § 52 TVöD, SuE Zulage usw.</t>
        </r>
      </text>
    </comment>
    <comment ref="K6" authorId="2" shapeId="0" xr:uid="{00000000-0006-0000-0200-000003000000}">
      <text>
        <r>
          <rPr>
            <sz val="9"/>
            <color indexed="81"/>
            <rFont val="Segoe UI"/>
            <family val="2"/>
          </rPr>
          <t>Im SuE liegt die Zulage zurzeit bei 100,- EUR</t>
        </r>
      </text>
    </comment>
    <comment ref="M6" authorId="2" shapeId="0" xr:uid="{00000000-0006-0000-0200-000004000000}">
      <text>
        <r>
          <rPr>
            <b/>
            <sz val="9"/>
            <color indexed="81"/>
            <rFont val="Segoe UI"/>
            <family val="2"/>
          </rPr>
          <t>Zulage unter Anmerkungen erläutern</t>
        </r>
      </text>
    </comment>
    <comment ref="U6" authorId="1" shapeId="0" xr:uid="{00000000-0006-0000-0200-000005000000}">
      <text>
        <r>
          <rPr>
            <b/>
            <sz val="8"/>
            <color indexed="81"/>
            <rFont val="Tahoma"/>
            <family val="2"/>
          </rPr>
          <t>gilt nur in  den Tarifwerken TvöD-VKA und SuE</t>
        </r>
        <r>
          <rPr>
            <sz val="8"/>
            <color indexed="81"/>
            <rFont val="Tahoma"/>
            <family val="2"/>
          </rPr>
          <t xml:space="preserve">
</t>
        </r>
      </text>
    </comment>
    <comment ref="O7" authorId="1" shapeId="0" xr:uid="{00000000-0006-0000-0200-000006000000}">
      <text>
        <r>
          <rPr>
            <b/>
            <sz val="8"/>
            <color indexed="81"/>
            <rFont val="Tahoma"/>
            <family val="2"/>
          </rPr>
          <t>Richtwert</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 Gerland</author>
    <author>Autor</author>
    <author>Hißnauer, Stefan (bpa)</author>
  </authors>
  <commentList>
    <comment ref="B6" authorId="0" shapeId="0" xr:uid="{00000000-0006-0000-0300-000001000000}">
      <text>
        <r>
          <rPr>
            <b/>
            <sz val="8"/>
            <color indexed="81"/>
            <rFont val="Tahoma"/>
            <family val="2"/>
          </rPr>
          <t>Mitarbeiter die nicht nach Tarifvertrag vergütet werden - Bitte AT eintragen</t>
        </r>
        <r>
          <rPr>
            <sz val="8"/>
            <color indexed="81"/>
            <rFont val="Tahoma"/>
            <family val="2"/>
          </rPr>
          <t xml:space="preserve">
</t>
        </r>
      </text>
    </comment>
    <comment ref="I6" authorId="1" shapeId="0" xr:uid="{00000000-0006-0000-0300-000002000000}">
      <text>
        <r>
          <rPr>
            <sz val="8"/>
            <color indexed="81"/>
            <rFont val="Tahoma"/>
            <family val="2"/>
          </rPr>
          <t>Hierzu zählen u. a. tarifliche Kinder- und Familienzulagen, Zulage gemäß § 52 TVöD, SuE Zulage usw.</t>
        </r>
      </text>
    </comment>
    <comment ref="J6" authorId="2" shapeId="0" xr:uid="{00000000-0006-0000-0300-000003000000}">
      <text>
        <r>
          <rPr>
            <sz val="9"/>
            <color indexed="81"/>
            <rFont val="Segoe UI"/>
            <family val="2"/>
          </rPr>
          <t>Im SuE liegt die Zulage zurzeit bei 100,- EUR</t>
        </r>
      </text>
    </comment>
    <comment ref="L6" authorId="2" shapeId="0" xr:uid="{00000000-0006-0000-0300-000004000000}">
      <text>
        <r>
          <rPr>
            <b/>
            <sz val="9"/>
            <color indexed="81"/>
            <rFont val="Segoe UI"/>
            <family val="2"/>
          </rPr>
          <t>Zulage unter Anmerkungen erläutern</t>
        </r>
        <r>
          <rPr>
            <sz val="9"/>
            <color indexed="81"/>
            <rFont val="Segoe UI"/>
            <family val="2"/>
          </rPr>
          <t xml:space="preserve">
</t>
        </r>
      </text>
    </comment>
    <comment ref="T6" authorId="1" shapeId="0" xr:uid="{00000000-0006-0000-0300-000005000000}">
      <text>
        <r>
          <rPr>
            <b/>
            <sz val="8"/>
            <color indexed="81"/>
            <rFont val="Tahoma"/>
            <family val="2"/>
          </rPr>
          <t>gilt nur in  den Tarifwerken TvöD-VKA und SuE</t>
        </r>
        <r>
          <rPr>
            <sz val="8"/>
            <color indexed="81"/>
            <rFont val="Tahoma"/>
            <family val="2"/>
          </rPr>
          <t xml:space="preserve">
</t>
        </r>
      </text>
    </comment>
    <comment ref="N7" authorId="1" shapeId="0" xr:uid="{00000000-0006-0000-0300-000006000000}">
      <text>
        <r>
          <rPr>
            <b/>
            <sz val="8"/>
            <color indexed="81"/>
            <rFont val="Tahoma"/>
            <family val="2"/>
          </rPr>
          <t>Richtwert</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Diakonie</author>
  </authors>
  <commentList>
    <comment ref="E28" authorId="0" shapeId="0" xr:uid="{00000000-0006-0000-0400-000001000000}">
      <text>
        <r>
          <rPr>
            <sz val="9"/>
            <color indexed="81"/>
            <rFont val="Segoe UI"/>
            <family val="2"/>
          </rPr>
          <t xml:space="preserve">Hier ist der maßgebliche Tabellenwert der Entgeltgruppe anzugeben, der zur Bemessung der Zeitzuschläge herangezogen wird. Dieser entspricht i.d.R. der Durchschnitts-"Stufe" einer Entgeltgruppe. Die individuellen tariflichen Regelungen sind zu beachten. (siehe auch Handbuch)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Diakonie</author>
  </authors>
  <commentList>
    <comment ref="E28" authorId="0" shapeId="0" xr:uid="{00000000-0006-0000-0500-000001000000}">
      <text>
        <r>
          <rPr>
            <sz val="9"/>
            <color indexed="81"/>
            <rFont val="Segoe UI"/>
            <family val="2"/>
          </rPr>
          <t xml:space="preserve">Hier ist der maßgebliche Tabellenwert der Entgeltgruppe anzugeben, der zur Bemessung der Zeitzuschläge herangezogen wird. Dieser entspricht i.d.R. der Durchschnitts-"Stufe" einer Entgeltgruppe. Die individuellen tariflichen Regelungen sind zu beachten. (siehe auch Handbuch)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 Gerland</author>
  </authors>
  <commentList>
    <comment ref="L24" authorId="0" shapeId="0" xr:uid="{00000000-0006-0000-0600-000001000000}">
      <text>
        <r>
          <rPr>
            <b/>
            <sz val="9"/>
            <color indexed="81"/>
            <rFont val="Tahoma"/>
            <family val="2"/>
          </rPr>
          <t>Umlagesatz der Zusatzversorgungs-kasse eintragen</t>
        </r>
        <r>
          <rPr>
            <sz val="9"/>
            <color indexed="81"/>
            <rFont val="Tahoma"/>
            <family val="2"/>
          </rPr>
          <t xml:space="preserve">
</t>
        </r>
      </text>
    </comment>
    <comment ref="O24" authorId="0" shapeId="0" xr:uid="{00000000-0006-0000-0600-000002000000}">
      <text>
        <r>
          <rPr>
            <b/>
            <sz val="9"/>
            <color indexed="81"/>
            <rFont val="Tahoma"/>
            <family val="2"/>
          </rPr>
          <t>Zur Überprüfung kann gern das monatliche Bruttoentgelt des AN aus dem jeweiligen Tabellenblatt "PK AN-Brutto" Spalte "X" bzw. "W"  "</t>
        </r>
        <r>
          <rPr>
            <b/>
            <i/>
            <sz val="9"/>
            <color indexed="81"/>
            <rFont val="Tahoma"/>
            <family val="2"/>
          </rPr>
          <t>nachrichtlich Arbeitnehmer-bruttoentgelt pro Monat</t>
        </r>
        <r>
          <rPr>
            <b/>
            <sz val="9"/>
            <color indexed="81"/>
            <rFont val="Tahoma"/>
            <family val="2"/>
          </rPr>
          <t xml:space="preserve">" eingetragen werden.
</t>
        </r>
      </text>
    </comment>
    <comment ref="L34" authorId="0" shapeId="0" xr:uid="{00000000-0006-0000-0600-000003000000}">
      <text>
        <r>
          <rPr>
            <b/>
            <sz val="9"/>
            <color indexed="81"/>
            <rFont val="Tahoma"/>
            <family val="2"/>
          </rPr>
          <t>Umlagesatz für das Sanierungsgeld der Zusatzversorgungs-kasse eintragen.</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Hißnauer, Stefan (bpa)</author>
  </authors>
  <commentList>
    <comment ref="E7" authorId="0" shapeId="0" xr:uid="{00000000-0006-0000-0900-000001000000}">
      <text>
        <r>
          <rPr>
            <sz val="9"/>
            <color indexed="81"/>
            <rFont val="Segoe UI"/>
            <family val="2"/>
          </rPr>
          <t>Einzutragen sind die Werte, wie sie in der Leistungsvereinbarung vereinbart wurden.</t>
        </r>
      </text>
    </comment>
    <comment ref="G7" authorId="0" shapeId="0" xr:uid="{00000000-0006-0000-0900-000002000000}">
      <text>
        <r>
          <rPr>
            <sz val="9"/>
            <color indexed="81"/>
            <rFont val="Segoe UI"/>
            <family val="2"/>
          </rPr>
          <t xml:space="preserve">Einzutragen sind die Werte, wie sie in der Leistungsvereinbarung vereinbart wurden.
</t>
        </r>
      </text>
    </comment>
    <comment ref="I7" authorId="0" shapeId="0" xr:uid="{00000000-0006-0000-0900-000003000000}">
      <text>
        <r>
          <rPr>
            <sz val="9"/>
            <color indexed="81"/>
            <rFont val="Segoe UI"/>
            <family val="2"/>
          </rPr>
          <t>Einzutragen sind die Werte, wie sie in der Leistungsvereinbarung vereinbart wurden.</t>
        </r>
      </text>
    </comment>
    <comment ref="K7" authorId="0" shapeId="0" xr:uid="{00000000-0006-0000-0900-000004000000}">
      <text>
        <r>
          <rPr>
            <sz val="9"/>
            <color indexed="81"/>
            <rFont val="Segoe UI"/>
            <family val="2"/>
          </rPr>
          <t>Einzutragen sind die Werte, wie sie in der Leistungsvereinbarung vereinbart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Hißnauer, Stefan (bpa)</author>
  </authors>
  <commentList>
    <comment ref="B20" authorId="0" shapeId="0" xr:uid="{00000000-0006-0000-0A00-000001000000}">
      <text>
        <r>
          <rPr>
            <b/>
            <sz val="9"/>
            <color indexed="81"/>
            <rFont val="Segoe UI"/>
            <family val="2"/>
          </rPr>
          <t>Bitte beachten Sie die saubere Abgrenzung der Kosten zwischen Assistenzleistungen, Wohnflächen und gesondert vorgehaltene Flächen.</t>
        </r>
        <r>
          <rPr>
            <sz val="9"/>
            <color indexed="81"/>
            <rFont val="Segoe UI"/>
            <family val="2"/>
          </rPr>
          <t xml:space="preserve">
</t>
        </r>
      </text>
    </comment>
    <comment ref="B47" authorId="0" shapeId="0" xr:uid="{00000000-0006-0000-0A00-000002000000}">
      <text>
        <r>
          <rPr>
            <b/>
            <sz val="9"/>
            <color indexed="81"/>
            <rFont val="Segoe UI"/>
            <family val="2"/>
          </rPr>
          <t>u.a. Bürobedarf, inkl. Drucksachen, Vordrucke, EDV-Kosten Porti, Kleinfrachten und Bankgebühren
Telekommunikation
Tagungen, Gästebetreuung inkl. Repräsentationskosten
Werbeaufwand
Beratungskosten inkl. Prüfungs-, Gerichts- und Anwaltsgebühren
Fachzeitschriften
Verbands- und Organisationsbeiträge
sonstige allgemeine Verwaltungskosten
Bezogene Leistung extern
Bezogene Leistung intern</t>
        </r>
        <r>
          <rPr>
            <sz val="9"/>
            <color indexed="81"/>
            <rFont val="Segoe UI"/>
            <family val="2"/>
          </rPr>
          <t xml:space="preserve">
</t>
        </r>
      </text>
    </comment>
  </commentList>
</comments>
</file>

<file path=xl/sharedStrings.xml><?xml version="1.0" encoding="utf-8"?>
<sst xmlns="http://schemas.openxmlformats.org/spreadsheetml/2006/main" count="479" uniqueCount="309">
  <si>
    <t>Personalkosten</t>
  </si>
  <si>
    <t>Sachkosten</t>
  </si>
  <si>
    <t>Betreuungsaufwand</t>
  </si>
  <si>
    <t>Verwaltungsaufwand</t>
  </si>
  <si>
    <t>Sonstiger Aufwand</t>
  </si>
  <si>
    <t>Erlösabzüge</t>
  </si>
  <si>
    <t>LG 1</t>
  </si>
  <si>
    <t>LG 2</t>
  </si>
  <si>
    <t>LG 3</t>
  </si>
  <si>
    <t>LG 4</t>
  </si>
  <si>
    <t>LG 5</t>
  </si>
  <si>
    <t>LG 6</t>
  </si>
  <si>
    <t>LG 7</t>
  </si>
  <si>
    <t>LG 8</t>
  </si>
  <si>
    <t>Leistungsgruppe (LG)</t>
  </si>
  <si>
    <t>Aufteilung der Stellenanteile für die Hauswirtschaftspauschale für die nachfolgenden besonderen Wohnformen (Standorte)</t>
  </si>
  <si>
    <t>Nr.</t>
  </si>
  <si>
    <t>Adresse Standort</t>
  </si>
  <si>
    <t>regelm. wöchentliche Arbeitszeit</t>
  </si>
  <si>
    <t>Kalkulationszeitraum</t>
  </si>
  <si>
    <t xml:space="preserve">Nachtwachen </t>
  </si>
  <si>
    <t>Nachtbereitschaft</t>
  </si>
  <si>
    <t>Nachtdienstpauschale</t>
  </si>
  <si>
    <t xml:space="preserve">Davon Wochenminuten für </t>
  </si>
  <si>
    <t>Tagessatz je Wohneinheiten</t>
  </si>
  <si>
    <t>qualifizierte Assistenz</t>
  </si>
  <si>
    <t>insgesamt</t>
  </si>
  <si>
    <t>Nachtdienstpauschale in den nachfolgenden besonderen Wohnformen (Standorte)</t>
  </si>
  <si>
    <t>Mitarbeitendenvertretung</t>
  </si>
  <si>
    <t>Personalnebenkosten</t>
  </si>
  <si>
    <t>Leistungserbringer-ZAD</t>
  </si>
  <si>
    <t>Straße</t>
  </si>
  <si>
    <t>PLZ / Ort</t>
  </si>
  <si>
    <t>Telefon</t>
  </si>
  <si>
    <t>Telefax</t>
  </si>
  <si>
    <t>E-Mail</t>
  </si>
  <si>
    <t>Spitzenverband</t>
  </si>
  <si>
    <t>Hiermit bestätigen wir die Vollständigkeit und Richtigkeit der vorgelegten Kalkulationsunterlagen.</t>
  </si>
  <si>
    <t>Kostenart</t>
  </si>
  <si>
    <t>kalkulatorischer Aufwand</t>
  </si>
  <si>
    <t>kompensatorische Assistenz</t>
  </si>
  <si>
    <t>Name</t>
  </si>
  <si>
    <t>gesamt</t>
  </si>
  <si>
    <t>Leitung und Verwaltung</t>
  </si>
  <si>
    <t>Prospektive Personalkostenkalkulation</t>
  </si>
  <si>
    <t>Anrechnung</t>
  </si>
  <si>
    <t>MiniJob</t>
  </si>
  <si>
    <t>FSJ / BFD</t>
  </si>
  <si>
    <t>Honorare</t>
  </si>
  <si>
    <t>Berufsgenossenschaftsbeitrag</t>
  </si>
  <si>
    <r>
      <t xml:space="preserve">(BGW) - </t>
    </r>
    <r>
      <rPr>
        <i/>
        <sz val="10"/>
        <color theme="1"/>
        <rFont val="Arial"/>
        <family val="2"/>
      </rPr>
      <t>nachrichtlich</t>
    </r>
  </si>
  <si>
    <t>Summe</t>
  </si>
  <si>
    <t>Qualifizierte Assistenz</t>
  </si>
  <si>
    <t>Kompensatorische Assistenz</t>
  </si>
  <si>
    <t>Vergütung</t>
  </si>
  <si>
    <t>LG 8+</t>
  </si>
  <si>
    <t>Investitionskosten Fachleistung</t>
  </si>
  <si>
    <t>Summe Personalkosten</t>
  </si>
  <si>
    <t>Summe Sachkosten</t>
  </si>
  <si>
    <t>Betriebsaufwand</t>
  </si>
  <si>
    <t>Summe Erlösabzüge</t>
  </si>
  <si>
    <t>Summe Investitionskosten Fachleistung</t>
  </si>
  <si>
    <t>Unterschrift</t>
  </si>
  <si>
    <t>Abschreibung bewegliche Anlagegüter</t>
  </si>
  <si>
    <t>Investitionskosten Fachleistungsflächen</t>
  </si>
  <si>
    <t>Stundenlohnzuschläge:</t>
  </si>
  <si>
    <t>Inanspruchnahme</t>
  </si>
  <si>
    <t>Stunden</t>
  </si>
  <si>
    <t>pro Stunde</t>
  </si>
  <si>
    <t>Betrag</t>
  </si>
  <si>
    <t>Anzahl MA</t>
  </si>
  <si>
    <t>von</t>
  </si>
  <si>
    <t>bis</t>
  </si>
  <si>
    <t>in Euro</t>
  </si>
  <si>
    <t>in Prozent</t>
  </si>
  <si>
    <t>Summe Zuschläge:</t>
  </si>
  <si>
    <t>dividiert VZK</t>
  </si>
  <si>
    <t>dividiert Monate</t>
  </si>
  <si>
    <t>Durchschn. Zuschlag</t>
  </si>
  <si>
    <t>gewichteter Durchschnitt:</t>
  </si>
  <si>
    <t>zuzüglich aufschlags-</t>
  </si>
  <si>
    <t>berechtigte Tage</t>
  </si>
  <si>
    <t>Berechnung:</t>
  </si>
  <si>
    <t>Tage</t>
  </si>
  <si>
    <t>Zulage</t>
  </si>
  <si>
    <t>Tage pro Monat</t>
  </si>
  <si>
    <t>Tageswert</t>
  </si>
  <si>
    <t>Monatswert pro Mitarbeiter</t>
  </si>
  <si>
    <t>Mitarbeitende Vollzeitkräfte</t>
  </si>
  <si>
    <t>Monatswert je Mitarbeitende/n</t>
  </si>
  <si>
    <t>Leistungsentgelt</t>
  </si>
  <si>
    <t>Entgeltstufe</t>
  </si>
  <si>
    <t>Prozentwert</t>
  </si>
  <si>
    <t>Eckdaten Zusatzversorgung</t>
  </si>
  <si>
    <t>Exemplarische Berechnung für die Daten Spalte G</t>
  </si>
  <si>
    <t>monatliches AN Bruttoentgelt</t>
  </si>
  <si>
    <t>Umlage ZVK Arbeitgeber</t>
  </si>
  <si>
    <t>davon steuerfrei (§3 Nr.56 EStG)</t>
  </si>
  <si>
    <t>abzüglich steuerfrei =</t>
  </si>
  <si>
    <t>davon pauschal zu versteuern bis zu</t>
  </si>
  <si>
    <t>pauschal zu versteuern =</t>
  </si>
  <si>
    <t>davon sozialversicherungsfrei</t>
  </si>
  <si>
    <t>abzüglich soz.frei =</t>
  </si>
  <si>
    <t>soz.frei dividiert Umlage mal Prozent</t>
  </si>
  <si>
    <t>auf 100€ ZV-AG entfallen =</t>
  </si>
  <si>
    <t>abzüglich Freibetrag</t>
  </si>
  <si>
    <t>abzüglich Freibetrag =</t>
  </si>
  <si>
    <t>sozialvers.pflichtig AG</t>
  </si>
  <si>
    <t>Pauschalsteuer</t>
  </si>
  <si>
    <t>Solidaritätszuschlag</t>
  </si>
  <si>
    <t>Kirchensteuer</t>
  </si>
  <si>
    <t>Sanierungsgeld SV und Steuerfrei</t>
  </si>
  <si>
    <t xml:space="preserve">Sanierungsgeld </t>
  </si>
  <si>
    <t>Sozialversicherung und Umlagen</t>
  </si>
  <si>
    <t>Rentenversicherung</t>
  </si>
  <si>
    <t>Krankenversicherung</t>
  </si>
  <si>
    <t>Pflegeversicherung</t>
  </si>
  <si>
    <t>Arbeitslosenversicherung</t>
  </si>
  <si>
    <t>U1 Umlage</t>
  </si>
  <si>
    <t>U2 Umlage</t>
  </si>
  <si>
    <t>Insolvenzgeldumlage</t>
  </si>
  <si>
    <t>durchschnittl. Zusatzbeitragssatz</t>
  </si>
  <si>
    <t>Prozent</t>
  </si>
  <si>
    <t>Praktikant:innen</t>
  </si>
  <si>
    <t>lfd. Nummer</t>
  </si>
  <si>
    <t>Adresse / Standort</t>
  </si>
  <si>
    <t>Aufstellung der besonderen Wohnformen</t>
  </si>
  <si>
    <t>pro Berechnungsstunde</t>
  </si>
  <si>
    <t>per anno</t>
  </si>
  <si>
    <t>Unterschied</t>
  </si>
  <si>
    <t>Die Gewichtung erfolgt im Tabellenblatt PK Zusammenfassung.</t>
  </si>
  <si>
    <r>
      <t xml:space="preserve">In dieser Tabelle sind grundsätzlich die Werte für </t>
    </r>
    <r>
      <rPr>
        <b/>
        <sz val="10"/>
        <color theme="1"/>
        <rFont val="Arial"/>
        <family val="2"/>
      </rPr>
      <t>eine</t>
    </r>
    <r>
      <rPr>
        <sz val="10"/>
        <color theme="1"/>
        <rFont val="Arial"/>
        <family val="2"/>
      </rPr>
      <t xml:space="preserve"> 100 % - Stelle bzw. eine Vollzeitstelle (VZK) einzugeben.</t>
    </r>
  </si>
  <si>
    <t>Bereinigte Sachkosten</t>
  </si>
  <si>
    <t>Gesamtaufwand</t>
  </si>
  <si>
    <t>Leasingkosten</t>
  </si>
  <si>
    <t>gem. Rahmenvertrag</t>
  </si>
  <si>
    <t>qual. Assistenz</t>
  </si>
  <si>
    <t>Vergütungsssatz</t>
  </si>
  <si>
    <t>bei Neubemessung</t>
  </si>
  <si>
    <t>Vergütungssatz kompensatorische Assistenz</t>
  </si>
  <si>
    <t>Durchschnittl. AG Bruttoentgelt</t>
  </si>
  <si>
    <t>Auszubildende</t>
  </si>
  <si>
    <t>Studierende</t>
  </si>
  <si>
    <t>sonstige Personalnebenkosten</t>
  </si>
  <si>
    <t>Betriebsaufwendungen (incl. Wartung)</t>
  </si>
  <si>
    <t>Liste aus LV zu § 5</t>
  </si>
  <si>
    <t>Investitionskosten</t>
  </si>
  <si>
    <t>GWG</t>
  </si>
  <si>
    <t>Anlagegüter</t>
  </si>
  <si>
    <t>Alternativ</t>
  </si>
  <si>
    <t>Summen</t>
  </si>
  <si>
    <t>Erlösabzüge für Personal</t>
  </si>
  <si>
    <t xml:space="preserve">Aufschlagsberechtigte Tage </t>
  </si>
  <si>
    <t>Erlösabzüge für Sachkosten</t>
  </si>
  <si>
    <t>Beiträge zur Berufsgenossenschaft</t>
  </si>
  <si>
    <t>Ausgleichsabgabe</t>
  </si>
  <si>
    <t>Reisekosten, Fahrgelder, Tagungsbeiträge</t>
  </si>
  <si>
    <t>Berufsbezogene Fortbildung und Supervision</t>
  </si>
  <si>
    <t>Personalwerbung und Personalbeschaffung</t>
  </si>
  <si>
    <t>Beihilfen nach hessischem Beihilferecht</t>
  </si>
  <si>
    <t>Wasser</t>
  </si>
  <si>
    <t>Treibstoffe und Schmiermittel</t>
  </si>
  <si>
    <t>gesundheitliche Betreuung</t>
  </si>
  <si>
    <t>betriebsnotwendige Versicherungen</t>
  </si>
  <si>
    <t>Zinsen für Betriebsmittelkredite</t>
  </si>
  <si>
    <t>Wartung</t>
  </si>
  <si>
    <t>sonstiger Aufwand</t>
  </si>
  <si>
    <t>Reinigungs-/Putzmaterial für Haus &amp; Wäsche einschl. Hausverbrauchsmittel</t>
  </si>
  <si>
    <t>Gartenpflege einschließlich Pflanzen und Sämerein</t>
  </si>
  <si>
    <t>Fremdreinigung Haus- und Fensterreinigung durch fremde Betriebe</t>
  </si>
  <si>
    <t>Fremdwäscherei Reinigung, Pflege und Instandhaltung der Kleider und Wäsche des Hauses</t>
  </si>
  <si>
    <t>Steuern, Grundsteuer, Kraftfahrzeugsteuer</t>
  </si>
  <si>
    <t>absolut</t>
  </si>
  <si>
    <t>Anmerkungen Leistungserbringer</t>
  </si>
  <si>
    <r>
      <rPr>
        <b/>
        <sz val="10"/>
        <color theme="1"/>
        <rFont val="Arial"/>
        <family val="2"/>
      </rPr>
      <t>optional:</t>
    </r>
    <r>
      <rPr>
        <sz val="10"/>
        <color theme="1"/>
        <rFont val="Arial"/>
        <family val="2"/>
      </rPr>
      <t xml:space="preserve"> Monatswert je MA pauschal</t>
    </r>
  </si>
  <si>
    <t>Ansprechpartner:in</t>
  </si>
  <si>
    <t>Fachkraft</t>
  </si>
  <si>
    <t>Anteil qualifizierte Hilfskräfte</t>
  </si>
  <si>
    <t>Aufstellung der Investitionskosten Fachleistung</t>
  </si>
  <si>
    <t>ZVK bei AT</t>
  </si>
  <si>
    <t>SFN</t>
  </si>
  <si>
    <t>Ja</t>
  </si>
  <si>
    <t>Energie (Strom)</t>
  </si>
  <si>
    <t>Heizmaterial jeder Art (fester Brennstoffe, Öl, Gas)</t>
  </si>
  <si>
    <t>Personal-/Sachkosten externer Wirtschaftsdienst</t>
  </si>
  <si>
    <t xml:space="preserve">Anteil Sachkosten </t>
  </si>
  <si>
    <t>verbliebener Personalkostenanteil externer Wirtschaftsdienst</t>
  </si>
  <si>
    <t>Anteil Sachkosten in EUR</t>
  </si>
  <si>
    <t>Anteil Betriebsaufwendungen</t>
  </si>
  <si>
    <t>Als Personalkosten in Fachleistung</t>
  </si>
  <si>
    <t>Externer Wirtschaftsdienst Reinigung</t>
  </si>
  <si>
    <t>Externer Wirtschaftsdienst Wäsche</t>
  </si>
  <si>
    <t>Externer Wirtschaftsdienst Küche</t>
  </si>
  <si>
    <t>Anteil externer Wirtschaftsdienst Reinigung</t>
  </si>
  <si>
    <t>Anteil externer Wirtschaftsdienst Wäsche</t>
  </si>
  <si>
    <t>Anteil externer Wirtschaftsdienst Küche</t>
  </si>
  <si>
    <t>geschätzter Stellenanteil externer Wirtschaftsdienst Reinigung</t>
  </si>
  <si>
    <t>geschätzter Stellenanteil externer Wirtschaftsdienst Wäsche</t>
  </si>
  <si>
    <t>geschätzter Stellenanteil externer Wirtschaftsdienst Küche</t>
  </si>
  <si>
    <t>Gesetzlicher Mindestlohn</t>
  </si>
  <si>
    <t>ca. Jahresarbeitgeberbrutto</t>
  </si>
  <si>
    <t>möglicher Stellenanteil</t>
  </si>
  <si>
    <t>durchschn. AG Bruttoentgelt kA</t>
  </si>
  <si>
    <t>bei Mindestlohn</t>
  </si>
  <si>
    <t>bei Ø kA</t>
  </si>
  <si>
    <t>Welche Erlöse werden erzielt?</t>
  </si>
  <si>
    <r>
      <t xml:space="preserve">Öffentliche Gebühren, z. B. für </t>
    </r>
    <r>
      <rPr>
        <sz val="10"/>
        <rFont val="Arial"/>
        <family val="2"/>
      </rPr>
      <t>Abwasser</t>
    </r>
    <r>
      <rPr>
        <sz val="10"/>
        <color theme="1"/>
        <rFont val="Arial"/>
        <family val="2"/>
      </rPr>
      <t>, Straßenreinigung und Müllabfuhr, Schornsteinfegergebühren</t>
    </r>
  </si>
  <si>
    <t>Pauschale</t>
  </si>
  <si>
    <t>Anteil KdU</t>
  </si>
  <si>
    <t xml:space="preserve">Erlösabzug Reinigungs-/Waschmittel </t>
  </si>
  <si>
    <t>Anzahl versorgte leistungsberechtigte Personen</t>
  </si>
  <si>
    <t>Anteil sonstige Sachkosten</t>
  </si>
  <si>
    <t>Anteil Kosten Lebensmittel</t>
  </si>
  <si>
    <t>verbleibender Anteil Personalkosten</t>
  </si>
  <si>
    <t>prospektive Berechnungsstunden
qualifizierte Assistenz</t>
  </si>
  <si>
    <t>neuer Stundensatz
kompensatorische Assistenz</t>
  </si>
  <si>
    <t>prospektive Berechnungsstunden
kompensatorische Assistenz</t>
  </si>
  <si>
    <t>neuer Stundensatz
qualifizierte Assistenz</t>
  </si>
  <si>
    <t>kalkulierte Auslastung
qualifizierte Assistenz</t>
  </si>
  <si>
    <t>kalkulierte Auslastung
kompensatorische Assistenz</t>
  </si>
  <si>
    <t>bisheriger Stundensatz
qualifizierte Assistenz</t>
  </si>
  <si>
    <t>abger. Std. Vorjahreszeitraum
qualifizierte Assistenz</t>
  </si>
  <si>
    <t>bisheriger Stundensatz
kompensatorische Assistenz</t>
  </si>
  <si>
    <t>abger. Std. Vorjahreszeitraum
kompensatorische Assistenz</t>
  </si>
  <si>
    <t>Abschreibung geringwertiger
Wirtschaftsgüter</t>
  </si>
  <si>
    <t>Stunden pro Woche</t>
  </si>
  <si>
    <t>Kalendertägliche Vergütung für die kompensatorische Assistenz 
je Wochenstunde</t>
  </si>
  <si>
    <t>Kalendertägliche Vergütung für die qualifizierte Assistenz</t>
  </si>
  <si>
    <t>qualifizierte
Assistenz</t>
  </si>
  <si>
    <t>kompensatorische
Assistenz</t>
  </si>
  <si>
    <t>Fachkraft/
qualifizierte Hilfskraft</t>
  </si>
  <si>
    <t>Ausbildungsqualifikation/
Funktionsgruppe</t>
  </si>
  <si>
    <t>Entgelt-
gruppe</t>
  </si>
  <si>
    <t>Ent-
gelt-
stufe</t>
  </si>
  <si>
    <t>Vollzeit-
kräfte / Multi-
plikator</t>
  </si>
  <si>
    <t>AG Bruttoentgelt je
Vollzeitkraft pro Jahr</t>
  </si>
  <si>
    <r>
      <rPr>
        <b/>
        <sz val="8"/>
        <color theme="1"/>
        <rFont val="Arial"/>
        <family val="2"/>
      </rPr>
      <t xml:space="preserve">alternativ
</t>
    </r>
    <r>
      <rPr>
        <sz val="8"/>
        <color theme="1"/>
        <rFont val="Arial"/>
        <family val="2"/>
      </rPr>
      <t>AG Bruttoentgelt je
Vollzeitkraft pro Jahr 
- pauschal -</t>
    </r>
  </si>
  <si>
    <t>AG Bruttoentgelt
multipliziert mit VZK</t>
  </si>
  <si>
    <t>Summe
Personalgruppen</t>
  </si>
  <si>
    <t>Durchschnittl.
verfügb.
Jahresarbeitsstd.</t>
  </si>
  <si>
    <t>komp.
Assistenz</t>
  </si>
  <si>
    <t>Anmerkungen
Leistungserbringer</t>
  </si>
  <si>
    <t>Anmerkungen
Leistungsträger</t>
  </si>
  <si>
    <r>
      <t xml:space="preserve">Anteil </t>
    </r>
    <r>
      <rPr>
        <b/>
        <sz val="10"/>
        <color theme="1"/>
        <rFont val="Arial"/>
        <family val="2"/>
      </rPr>
      <t>Wohnflächen</t>
    </r>
  </si>
  <si>
    <t xml:space="preserve">   Darin enthaltene anteilige Funktionsflächen</t>
  </si>
  <si>
    <r>
      <t xml:space="preserve">Anteil </t>
    </r>
    <r>
      <rPr>
        <b/>
        <sz val="10"/>
        <color theme="1"/>
        <rFont val="Arial"/>
        <family val="2"/>
      </rPr>
      <t>Strukturflächen</t>
    </r>
  </si>
  <si>
    <t>Anzahl je
besonderer
Wohnform</t>
  </si>
  <si>
    <t>Wochen-
minuten
insgesamt</t>
  </si>
  <si>
    <t>Wochenminuten
insgesamt für</t>
  </si>
  <si>
    <t>Wochenminuten je
vereinbarten Platz für</t>
  </si>
  <si>
    <t xml:space="preserve"> qualifizierte
Assistenz</t>
  </si>
  <si>
    <t>kompen-
satorische
Assistenz</t>
  </si>
  <si>
    <t xml:space="preserve">
Anzahl
Wohneinheiten</t>
  </si>
  <si>
    <t>gesetzlich erforderliche gesundheitl. Untersuchungen und Vorbeugemaßnahmen</t>
  </si>
  <si>
    <r>
      <t xml:space="preserve">Tarifvertrag
</t>
    </r>
    <r>
      <rPr>
        <i/>
        <sz val="10"/>
        <color theme="1"/>
        <rFont val="Arial"/>
        <family val="2"/>
      </rPr>
      <t>entspr.
Abkürzung
verwenden</t>
    </r>
  </si>
  <si>
    <t>Monats-
entgelt nach
aktueller
Tabelle bzw.
Vereinbarung</t>
  </si>
  <si>
    <t>Tarif für den
Verein-
barungs-
zeitraum</t>
  </si>
  <si>
    <t>Monats-
entgelt nach
Fort-
schreibung</t>
  </si>
  <si>
    <t>Zulagen
gemäß
Tarifvertrag</t>
  </si>
  <si>
    <t>Heim- /
Wohnzulage</t>
  </si>
  <si>
    <t>Schicht-
zulage
gemäß
Tarifvertrag</t>
  </si>
  <si>
    <t>persönliche
Zulagen</t>
  </si>
  <si>
    <r>
      <t>Zeitzu-
schläge</t>
    </r>
    <r>
      <rPr>
        <i/>
        <sz val="10"/>
        <color theme="1"/>
        <rFont val="Arial"/>
        <family val="2"/>
      </rPr>
      <t xml:space="preserve">
(siehe extra
Tabellen-
blatt)</t>
    </r>
  </si>
  <si>
    <t>Vermögens-
wirksame
Leistungen</t>
  </si>
  <si>
    <t>Monats-
entgelt</t>
  </si>
  <si>
    <r>
      <t xml:space="preserve">Jahresentgelt
</t>
    </r>
    <r>
      <rPr>
        <i/>
        <sz val="10"/>
        <color theme="1"/>
        <rFont val="Arial"/>
        <family val="2"/>
      </rPr>
      <t>(Monatsentgelt
multipliziert mit
12)</t>
    </r>
  </si>
  <si>
    <t>tarifliche Einmalzahlungen
(13. Gehalt) /
Leistungsprämien</t>
  </si>
  <si>
    <t>Arbeitnehmer-
bruttoentgelt
pro Jahr</t>
  </si>
  <si>
    <t>nachrichtlich
Arbeitnehmer-
bruttoentgelt
pro Monat</t>
  </si>
  <si>
    <t>Tage im
Jahr</t>
  </si>
  <si>
    <t>Stunden im
Jahr</t>
  </si>
  <si>
    <t>Tabellen-
werte</t>
  </si>
  <si>
    <t>Wochen-
arbeits-
stunden</t>
  </si>
  <si>
    <t>Wochen-
äquivalent
gemäß Tarif-
vertrag</t>
  </si>
  <si>
    <t>Stunden-
werte</t>
  </si>
  <si>
    <t>Gewichtung
Zahl der Mit-
arbeitenden</t>
  </si>
  <si>
    <t>gem. KGSt</t>
  </si>
  <si>
    <t>Die Höhe der Entgeltfortzahlung im Krankheitsfall und bei Beurlaubung bestimmen sich nach dem "Lohnausfallprinzip". Arbeitnehmer:innen sind so zu vergüten, als hätten sie gearbeitet. Damit besteht auch ein Rechtsanspruch auf die Sonntags-, Feiertags- und Nachtzuschläge (SFN-Zuschläge), wenn in der Vergangenheit solche Arbeit geleistet wurde.</t>
  </si>
  <si>
    <t>Arbeitnehmer-bruttoentgelt pro
Jahr abzgl. SFN</t>
  </si>
  <si>
    <t>MiniJob
Pauschale</t>
  </si>
  <si>
    <t>Sozial-
versicherungs-
beiträge und
Umlagen</t>
  </si>
  <si>
    <t>Zusatzversorgung inkl.
Sanierungsgeld und
Sozialversicherung und
Pauschalsteuer</t>
  </si>
  <si>
    <r>
      <rPr>
        <b/>
        <sz val="10"/>
        <color theme="1"/>
        <rFont val="Arial"/>
        <family val="2"/>
      </rPr>
      <t xml:space="preserve">oder
</t>
    </r>
    <r>
      <rPr>
        <sz val="10"/>
        <color theme="1"/>
        <rFont val="Arial"/>
        <family val="2"/>
      </rPr>
      <t>Sonstige Beiträge zur zusätzlichen
Altersversorgung</t>
    </r>
  </si>
  <si>
    <t>Arbeitgeber
Bruttoentgelt
pro Jahr
zzgl. SFN</t>
  </si>
  <si>
    <t>individueller
Jahresbetrag</t>
  </si>
  <si>
    <t>Anzahl
vereinbarte
Wohneinheiten</t>
  </si>
  <si>
    <t>Hauswirtschafts-
pauschale</t>
  </si>
  <si>
    <t>Bereitschafts-
pauschale</t>
  </si>
  <si>
    <t xml:space="preserve">Stellenanteile
Hauswirtschaft
</t>
  </si>
  <si>
    <t>Jahresarbeitsstunden
Hauswirtschaft /
Standort</t>
  </si>
  <si>
    <t>Jahresarbeits-
minuten Hauswirtschaft /
Standort</t>
  </si>
  <si>
    <t>Vereinbarte
Wohneinheiten /
Standort</t>
  </si>
  <si>
    <t>Wochenminuten
Hauswirtschafts-
pauschale je 
Standort und
Wohneinheit (Platz)</t>
  </si>
  <si>
    <t>Tagessatz je
Wohneinheit</t>
  </si>
  <si>
    <t>Gesamtsumme (für alle
ohne Eintrag oben)</t>
  </si>
  <si>
    <t>EDV-Kosten</t>
  </si>
  <si>
    <t>sonstiges</t>
  </si>
  <si>
    <t>kalendertäglicher Basisminutenwert Fahrtzeit qualifizierte Assistenz</t>
  </si>
  <si>
    <t>kalendertäglicher Basisminutenwert Fahrtzeit kompensatorische Assistenz</t>
  </si>
  <si>
    <t>zuschlagspflichtige Zeiten</t>
  </si>
  <si>
    <t>Gesamtpersonalmenge</t>
  </si>
  <si>
    <t>Anteil zuschlagspfl. Zeiten</t>
  </si>
  <si>
    <t>Stunden gesamt</t>
  </si>
  <si>
    <t>KGSt Kita/Soz.:</t>
  </si>
  <si>
    <t>qA Abzug</t>
  </si>
  <si>
    <t>kA Abzug</t>
  </si>
  <si>
    <t xml:space="preserve"> </t>
  </si>
  <si>
    <t>Vergütung pro Kalendertag / Minute</t>
  </si>
  <si>
    <t>Stand der Datei: 27.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</si>
</sst>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0.00\ &quot;€&quot;;[Red]\-#,##0.00\ &quot;€&quot;"/>
    <numFmt numFmtId="44" formatCode="_-* #,##0.00\ &quot;€&quot;_-;\-* #,##0.00\ &quot;€&quot;_-;_-* &quot;-&quot;??\ &quot;€&quot;_-;_-@_-"/>
    <numFmt numFmtId="164" formatCode="_-* #,##0.00\ _€_-;\-* #,##0.00\ _€_-;_-* &quot;-&quot;??\ _€_-;_-@_-"/>
    <numFmt numFmtId="165" formatCode="#,##0.00\ &quot;€&quot;"/>
    <numFmt numFmtId="166" formatCode="[m]:ss;@"/>
    <numFmt numFmtId="167" formatCode="[h]:mm;@"/>
    <numFmt numFmtId="168" formatCode="0.0%"/>
    <numFmt numFmtId="169" formatCode="0.000%"/>
    <numFmt numFmtId="170" formatCode="[$-407]d/\ mmmm\ yyyy;@"/>
    <numFmt numFmtId="171" formatCode="#,##0_ ;[Red]\-#,##0\ "/>
    <numFmt numFmtId="172" formatCode="#,##0.000\ &quot;€&quot;"/>
    <numFmt numFmtId="173" formatCode="_-* #,##0.00\ &quot;€&quot;_-;\-* #,##0.00\ &quot;€&quot;_-;_-* &quot;-&quot;???\ &quot;€&quot;_-;_-@_-"/>
    <numFmt numFmtId="174" formatCode="[hh]:mm"/>
    <numFmt numFmtId="175" formatCode="[h]:mm"/>
    <numFmt numFmtId="176" formatCode="_-* #,##0.0000\ &quot;€&quot;_-;\-* #,##0.0000\ &quot;€&quot;_-;_-* &quot;-&quot;??\ &quot;€&quot;_-;_-@_-"/>
    <numFmt numFmtId="177" formatCode="0.00\ &quot;m²&quot;"/>
  </numFmts>
  <fonts count="38"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sz val="10"/>
      <color theme="1"/>
      <name val="Arial"/>
      <family val="2"/>
    </font>
    <font>
      <b/>
      <sz val="10"/>
      <color rgb="FFFF0000"/>
      <name val="Arial"/>
      <family val="2"/>
    </font>
    <font>
      <b/>
      <sz val="10"/>
      <color theme="1"/>
      <name val="Arial"/>
      <family val="2"/>
    </font>
    <font>
      <b/>
      <u val="doubleAccounting"/>
      <sz val="10"/>
      <color theme="1"/>
      <name val="Arial"/>
      <family val="2"/>
    </font>
    <font>
      <sz val="10"/>
      <color theme="0" tint="-0.499984740745262"/>
      <name val="Arial"/>
      <family val="2"/>
    </font>
    <font>
      <sz val="9"/>
      <color indexed="81"/>
      <name val="Segoe UI"/>
      <family val="2"/>
    </font>
    <font>
      <b/>
      <sz val="8"/>
      <color indexed="81"/>
      <name val="Tahoma"/>
      <family val="2"/>
    </font>
    <font>
      <sz val="8"/>
      <color indexed="81"/>
      <name val="Tahoma"/>
      <family val="2"/>
    </font>
    <font>
      <b/>
      <i/>
      <sz val="10"/>
      <color theme="3" tint="0.39997558519241921"/>
      <name val="Arial"/>
      <family val="2"/>
    </font>
    <font>
      <i/>
      <sz val="10"/>
      <color theme="1"/>
      <name val="Arial"/>
      <family val="2"/>
    </font>
    <font>
      <sz val="10"/>
      <color rgb="FFFF0000"/>
      <name val="Arial"/>
      <family val="2"/>
    </font>
    <font>
      <sz val="8"/>
      <color theme="1"/>
      <name val="Arial"/>
      <family val="2"/>
    </font>
    <font>
      <sz val="11"/>
      <color theme="1"/>
      <name val="Arial"/>
      <family val="2"/>
    </font>
    <font>
      <sz val="10"/>
      <name val="MS Sans Serif"/>
      <family val="2"/>
    </font>
    <font>
      <b/>
      <sz val="8"/>
      <color theme="1"/>
      <name val="Arial"/>
      <family val="2"/>
    </font>
    <font>
      <b/>
      <u/>
      <sz val="10"/>
      <color theme="1"/>
      <name val="Arial"/>
      <family val="2"/>
    </font>
    <font>
      <b/>
      <sz val="10"/>
      <color indexed="8"/>
      <name val="Arial"/>
      <family val="2"/>
    </font>
    <font>
      <b/>
      <sz val="10"/>
      <color theme="0"/>
      <name val="Arial"/>
      <family val="2"/>
    </font>
    <font>
      <b/>
      <i/>
      <sz val="10"/>
      <color indexed="8"/>
      <name val="Arial"/>
      <family val="2"/>
    </font>
    <font>
      <b/>
      <sz val="9"/>
      <color indexed="81"/>
      <name val="Tahoma"/>
      <family val="2"/>
    </font>
    <font>
      <sz val="9"/>
      <color indexed="81"/>
      <name val="Tahoma"/>
      <family val="2"/>
    </font>
    <font>
      <sz val="10"/>
      <color indexed="8"/>
      <name val="Arial"/>
      <family val="2"/>
    </font>
    <font>
      <sz val="10"/>
      <color theme="0" tint="-0.34998626667073579"/>
      <name val="Arial"/>
      <family val="2"/>
    </font>
    <font>
      <sz val="8"/>
      <name val="Arial"/>
      <family val="2"/>
    </font>
    <font>
      <b/>
      <sz val="9"/>
      <color theme="1"/>
      <name val="Arial"/>
      <family val="2"/>
    </font>
    <font>
      <sz val="10"/>
      <color theme="1" tint="0.499984740745262"/>
      <name val="Arial"/>
      <family val="2"/>
    </font>
    <font>
      <b/>
      <sz val="10"/>
      <color theme="1" tint="0.499984740745262"/>
      <name val="Arial"/>
      <family val="2"/>
    </font>
    <font>
      <b/>
      <sz val="10"/>
      <color theme="3"/>
      <name val="Arial"/>
      <family val="2"/>
    </font>
    <font>
      <b/>
      <sz val="10"/>
      <color theme="4"/>
      <name val="Arial"/>
      <family val="2"/>
    </font>
    <font>
      <b/>
      <sz val="9"/>
      <color indexed="81"/>
      <name val="Segoe UI"/>
      <family val="2"/>
    </font>
    <font>
      <b/>
      <i/>
      <sz val="9"/>
      <color indexed="81"/>
      <name val="Tahoma"/>
      <family val="2"/>
    </font>
    <font>
      <sz val="10"/>
      <color theme="0"/>
      <name val="Arial"/>
      <family val="2"/>
    </font>
    <font>
      <b/>
      <sz val="8"/>
      <color theme="3"/>
      <name val="Arial"/>
      <family val="2"/>
    </font>
  </fonts>
  <fills count="10">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4"/>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theme="0"/>
      </left>
      <right/>
      <top/>
      <bottom/>
      <diagonal/>
    </border>
    <border>
      <left style="thin">
        <color indexed="64"/>
      </left>
      <right style="thin">
        <color theme="0"/>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8" fillId="0" borderId="0"/>
    <xf numFmtId="164" fontId="1" fillId="0" borderId="0" applyFont="0" applyFill="0" applyBorder="0" applyAlignment="0" applyProtection="0"/>
    <xf numFmtId="0" fontId="3" fillId="0" borderId="0" applyFont="0" applyFill="0" applyBorder="0" applyAlignment="0" applyProtection="0"/>
  </cellStyleXfs>
  <cellXfs count="560">
    <xf numFmtId="0" fontId="0" fillId="0" borderId="0" xfId="0"/>
    <xf numFmtId="0" fontId="5" fillId="0" borderId="0" xfId="0" applyFont="1"/>
    <xf numFmtId="0" fontId="6" fillId="0" borderId="0" xfId="0" applyFont="1"/>
    <xf numFmtId="0" fontId="7" fillId="0" borderId="0" xfId="0" applyFont="1"/>
    <xf numFmtId="44" fontId="5" fillId="0" borderId="0" xfId="1" applyFont="1" applyFill="1"/>
    <xf numFmtId="44" fontId="5" fillId="0" borderId="0" xfId="1" applyFont="1"/>
    <xf numFmtId="165" fontId="3" fillId="0" borderId="0" xfId="0" applyNumberFormat="1"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167" fontId="3" fillId="0" borderId="0" xfId="0" applyNumberFormat="1" applyFont="1" applyAlignment="1">
      <alignment horizontal="center" vertical="center" wrapText="1"/>
    </xf>
    <xf numFmtId="166" fontId="3" fillId="0" borderId="0" xfId="0" applyNumberFormat="1" applyFont="1" applyAlignment="1">
      <alignment horizontal="center" vertical="center"/>
    </xf>
    <xf numFmtId="167" fontId="3" fillId="0" borderId="0" xfId="0" applyNumberFormat="1" applyFont="1" applyAlignment="1" applyProtection="1">
      <alignment horizontal="center" vertical="center" wrapText="1"/>
      <protection locked="0"/>
    </xf>
    <xf numFmtId="0" fontId="4"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vertical="center" wrapText="1"/>
    </xf>
    <xf numFmtId="0" fontId="5" fillId="0" borderId="5" xfId="0" applyFont="1" applyBorder="1"/>
    <xf numFmtId="0" fontId="9" fillId="0" borderId="0" xfId="0" applyFont="1"/>
    <xf numFmtId="4" fontId="3" fillId="0" borderId="1" xfId="0" applyNumberFormat="1" applyFont="1" applyBorder="1" applyAlignment="1">
      <alignment vertical="top" wrapText="1"/>
    </xf>
    <xf numFmtId="0" fontId="3" fillId="0" borderId="0" xfId="0" applyFont="1" applyAlignment="1">
      <alignment vertical="top" wrapText="1"/>
    </xf>
    <xf numFmtId="3" fontId="3" fillId="0" borderId="0" xfId="0" applyNumberFormat="1" applyFont="1" applyAlignment="1">
      <alignment vertical="top" wrapText="1"/>
    </xf>
    <xf numFmtId="2" fontId="3" fillId="0" borderId="0" xfId="3" applyNumberFormat="1" applyFont="1" applyFill="1" applyBorder="1" applyAlignment="1" applyProtection="1">
      <alignment vertical="top" wrapText="1"/>
      <protection locked="0"/>
    </xf>
    <xf numFmtId="3" fontId="3" fillId="0" borderId="0" xfId="3" applyNumberFormat="1" applyFont="1" applyFill="1" applyBorder="1" applyAlignment="1" applyProtection="1">
      <alignment vertical="top" wrapText="1"/>
      <protection locked="0"/>
    </xf>
    <xf numFmtId="3" fontId="4" fillId="0" borderId="0" xfId="0" applyNumberFormat="1" applyFont="1" applyAlignment="1">
      <alignment vertical="top" wrapText="1"/>
    </xf>
    <xf numFmtId="4" fontId="4" fillId="0" borderId="0" xfId="0" applyNumberFormat="1" applyFont="1" applyAlignment="1">
      <alignment vertical="top" wrapText="1"/>
    </xf>
    <xf numFmtId="3" fontId="3" fillId="3" borderId="1" xfId="3" applyNumberFormat="1" applyFont="1" applyFill="1" applyBorder="1" applyAlignment="1" applyProtection="1">
      <alignment vertical="top" wrapText="1"/>
      <protection locked="0"/>
    </xf>
    <xf numFmtId="165" fontId="4" fillId="5" borderId="1" xfId="0" applyNumberFormat="1" applyFont="1" applyFill="1" applyBorder="1" applyAlignment="1">
      <alignment vertical="top" wrapText="1"/>
    </xf>
    <xf numFmtId="3" fontId="3" fillId="0" borderId="20" xfId="0" applyNumberFormat="1" applyFont="1" applyBorder="1" applyAlignment="1">
      <alignment horizontal="center" vertical="top" wrapText="1"/>
    </xf>
    <xf numFmtId="0" fontId="3" fillId="0" borderId="20" xfId="0" applyFont="1" applyBorder="1" applyAlignment="1">
      <alignment horizontal="center" vertical="top" wrapText="1"/>
    </xf>
    <xf numFmtId="165" fontId="3" fillId="0" borderId="0" xfId="0" applyNumberFormat="1" applyFont="1" applyAlignment="1">
      <alignment horizontal="center" vertical="center" wrapText="1"/>
    </xf>
    <xf numFmtId="0" fontId="0" fillId="0" borderId="0" xfId="0" applyAlignment="1">
      <alignment vertical="top" wrapText="1"/>
    </xf>
    <xf numFmtId="0" fontId="5" fillId="0" borderId="0" xfId="0" applyFont="1" applyAlignment="1">
      <alignment vertical="center"/>
    </xf>
    <xf numFmtId="0" fontId="5" fillId="0" borderId="0" xfId="0" applyFont="1" applyAlignment="1">
      <alignment horizontal="center"/>
    </xf>
    <xf numFmtId="0" fontId="5" fillId="0" borderId="0" xfId="0" applyFont="1" applyAlignment="1">
      <alignment horizontal="center" vertical="center"/>
    </xf>
    <xf numFmtId="2" fontId="5" fillId="0" borderId="0" xfId="0" applyNumberFormat="1" applyFont="1" applyAlignment="1">
      <alignment horizontal="center" vertical="center"/>
    </xf>
    <xf numFmtId="165" fontId="5" fillId="0" borderId="0" xfId="0" applyNumberFormat="1" applyFont="1"/>
    <xf numFmtId="165" fontId="5" fillId="0" borderId="0" xfId="0" applyNumberFormat="1" applyFont="1" applyAlignment="1">
      <alignment vertical="center"/>
    </xf>
    <xf numFmtId="0" fontId="5" fillId="0" borderId="0" xfId="0" applyFont="1" applyAlignment="1">
      <alignment horizontal="center" vertical="center" wrapText="1"/>
    </xf>
    <xf numFmtId="0" fontId="7" fillId="0" borderId="0" xfId="0" applyFont="1" applyAlignment="1">
      <alignment vertical="center"/>
    </xf>
    <xf numFmtId="165" fontId="7" fillId="0" borderId="0" xfId="0" applyNumberFormat="1" applyFont="1" applyAlignment="1">
      <alignment vertical="center"/>
    </xf>
    <xf numFmtId="2" fontId="7" fillId="0" borderId="0" xfId="0" applyNumberFormat="1" applyFont="1" applyAlignment="1">
      <alignment horizontal="center" vertical="center"/>
    </xf>
    <xf numFmtId="165" fontId="5" fillId="0" borderId="1" xfId="0" applyNumberFormat="1" applyFont="1" applyBorder="1" applyAlignment="1">
      <alignment vertical="center"/>
    </xf>
    <xf numFmtId="0" fontId="5" fillId="0" borderId="1" xfId="0" applyFont="1" applyBorder="1" applyAlignment="1">
      <alignment vertical="center"/>
    </xf>
    <xf numFmtId="2" fontId="7" fillId="0" borderId="5" xfId="0" applyNumberFormat="1" applyFont="1" applyBorder="1" applyAlignment="1">
      <alignment horizontal="center" vertical="center"/>
    </xf>
    <xf numFmtId="165" fontId="13" fillId="0" borderId="0" xfId="0" applyNumberFormat="1" applyFont="1" applyAlignment="1">
      <alignment vertical="center"/>
    </xf>
    <xf numFmtId="165" fontId="7" fillId="0" borderId="1" xfId="0" applyNumberFormat="1" applyFont="1" applyBorder="1"/>
    <xf numFmtId="49" fontId="7" fillId="0" borderId="0" xfId="0" applyNumberFormat="1" applyFont="1" applyAlignment="1">
      <alignment horizontal="right" vertical="center"/>
    </xf>
    <xf numFmtId="2" fontId="5" fillId="0" borderId="0" xfId="0" applyNumberFormat="1" applyFont="1" applyAlignment="1">
      <alignment vertical="center"/>
    </xf>
    <xf numFmtId="2" fontId="7" fillId="0" borderId="0" xfId="0" applyNumberFormat="1" applyFont="1" applyAlignment="1">
      <alignment vertical="center"/>
    </xf>
    <xf numFmtId="2" fontId="7" fillId="0" borderId="0" xfId="0" applyNumberFormat="1" applyFont="1" applyAlignment="1">
      <alignment horizontal="left" vertical="center"/>
    </xf>
    <xf numFmtId="2" fontId="5" fillId="0" borderId="0" xfId="0" applyNumberFormat="1" applyFont="1" applyAlignment="1" applyProtection="1">
      <alignment vertical="center"/>
      <protection locked="0"/>
    </xf>
    <xf numFmtId="0" fontId="5" fillId="0" borderId="0" xfId="0" applyFont="1" applyAlignment="1">
      <alignment horizontal="left" vertical="center"/>
    </xf>
    <xf numFmtId="0" fontId="5" fillId="3" borderId="1" xfId="0" applyFont="1" applyFill="1" applyBorder="1" applyAlignment="1" applyProtection="1">
      <alignment vertical="center"/>
      <protection locked="0"/>
    </xf>
    <xf numFmtId="2" fontId="5" fillId="3" borderId="1" xfId="0" applyNumberFormat="1" applyFont="1" applyFill="1" applyBorder="1" applyAlignment="1" applyProtection="1">
      <alignment horizontal="center" vertical="center"/>
      <protection locked="0"/>
    </xf>
    <xf numFmtId="165" fontId="5" fillId="3" borderId="1" xfId="0" applyNumberFormat="1" applyFont="1" applyFill="1" applyBorder="1" applyAlignment="1" applyProtection="1">
      <alignment vertical="center"/>
      <protection locked="0"/>
    </xf>
    <xf numFmtId="168" fontId="7" fillId="3" borderId="1" xfId="2" applyNumberFormat="1" applyFont="1" applyFill="1" applyBorder="1" applyAlignment="1" applyProtection="1">
      <alignment vertical="center"/>
      <protection locked="0"/>
    </xf>
    <xf numFmtId="2" fontId="5" fillId="0" borderId="25" xfId="0" applyNumberFormat="1" applyFont="1" applyBorder="1" applyAlignment="1">
      <alignment horizontal="center" vertical="center" wrapText="1"/>
    </xf>
    <xf numFmtId="44" fontId="5" fillId="0" borderId="0" xfId="0" applyNumberFormat="1" applyFont="1"/>
    <xf numFmtId="3" fontId="5" fillId="0" borderId="0" xfId="0" applyNumberFormat="1" applyFont="1"/>
    <xf numFmtId="2" fontId="5" fillId="0" borderId="1" xfId="0" applyNumberFormat="1" applyFont="1" applyBorder="1" applyAlignment="1">
      <alignment vertical="center"/>
    </xf>
    <xf numFmtId="2" fontId="5" fillId="3" borderId="1" xfId="0" applyNumberFormat="1" applyFont="1" applyFill="1" applyBorder="1" applyAlignment="1" applyProtection="1">
      <alignment vertical="center"/>
      <protection locked="0"/>
    </xf>
    <xf numFmtId="0" fontId="17" fillId="0" borderId="0" xfId="0" applyFont="1"/>
    <xf numFmtId="44" fontId="5" fillId="0" borderId="0" xfId="1" applyFont="1" applyBorder="1"/>
    <xf numFmtId="0" fontId="7" fillId="0" borderId="5" xfId="0" applyFont="1" applyBorder="1" applyAlignment="1">
      <alignment vertical="center"/>
    </xf>
    <xf numFmtId="0" fontId="5" fillId="0" borderId="5" xfId="0" applyFont="1" applyBorder="1" applyAlignment="1">
      <alignment vertical="center"/>
    </xf>
    <xf numFmtId="44" fontId="7" fillId="0" borderId="0" xfId="0" applyNumberFormat="1" applyFont="1" applyAlignment="1">
      <alignment vertical="center"/>
    </xf>
    <xf numFmtId="9" fontId="5" fillId="0" borderId="0" xfId="2" applyFont="1" applyAlignment="1">
      <alignment vertical="center"/>
    </xf>
    <xf numFmtId="44" fontId="5" fillId="0" borderId="0" xfId="1" applyFont="1" applyFill="1" applyAlignment="1">
      <alignment vertical="center"/>
    </xf>
    <xf numFmtId="44" fontId="5" fillId="0" borderId="5" xfId="1" applyFont="1" applyFill="1" applyBorder="1" applyAlignment="1">
      <alignment vertical="center"/>
    </xf>
    <xf numFmtId="44" fontId="5" fillId="3" borderId="0" xfId="1" applyFont="1" applyFill="1" applyAlignment="1" applyProtection="1">
      <alignment vertical="center"/>
      <protection locked="0"/>
    </xf>
    <xf numFmtId="44" fontId="7" fillId="0" borderId="10" xfId="1" applyFont="1" applyBorder="1" applyAlignment="1">
      <alignment vertical="center"/>
    </xf>
    <xf numFmtId="0" fontId="0" fillId="0" borderId="0" xfId="0" applyAlignment="1">
      <alignment vertical="center"/>
    </xf>
    <xf numFmtId="0" fontId="4" fillId="4" borderId="3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0" borderId="16" xfId="0" applyFont="1" applyBorder="1" applyAlignment="1">
      <alignment horizontal="center" vertical="center" wrapText="1"/>
    </xf>
    <xf numFmtId="44" fontId="5" fillId="5" borderId="32" xfId="1" applyFont="1" applyFill="1" applyBorder="1" applyAlignment="1">
      <alignment vertical="center"/>
    </xf>
    <xf numFmtId="0" fontId="3" fillId="0" borderId="18" xfId="0" applyFont="1" applyBorder="1" applyAlignment="1">
      <alignment horizontal="center" vertical="center" wrapText="1"/>
    </xf>
    <xf numFmtId="166" fontId="3" fillId="0" borderId="19" xfId="0" applyNumberFormat="1" applyFont="1" applyBorder="1" applyAlignment="1">
      <alignment horizontal="center" vertical="center"/>
    </xf>
    <xf numFmtId="166" fontId="3" fillId="0" borderId="27" xfId="0" applyNumberFormat="1" applyFont="1" applyBorder="1" applyAlignment="1">
      <alignment horizontal="center" vertical="center"/>
    </xf>
    <xf numFmtId="166" fontId="3" fillId="5" borderId="33" xfId="0" applyNumberFormat="1" applyFont="1" applyFill="1" applyBorder="1" applyAlignment="1">
      <alignment horizontal="center" vertical="center"/>
    </xf>
    <xf numFmtId="0" fontId="5" fillId="0" borderId="34" xfId="0" applyFont="1" applyBorder="1" applyAlignment="1">
      <alignment vertical="center"/>
    </xf>
    <xf numFmtId="0" fontId="7" fillId="4" borderId="11" xfId="0" applyFont="1" applyFill="1" applyBorder="1" applyAlignment="1">
      <alignment vertical="center"/>
    </xf>
    <xf numFmtId="0" fontId="5" fillId="4" borderId="12" xfId="0" applyFont="1" applyFill="1" applyBorder="1" applyAlignment="1">
      <alignment vertical="center"/>
    </xf>
    <xf numFmtId="44" fontId="7" fillId="4" borderId="35" xfId="0" applyNumberFormat="1" applyFont="1" applyFill="1" applyBorder="1" applyAlignment="1">
      <alignment vertical="center"/>
    </xf>
    <xf numFmtId="44" fontId="7" fillId="4" borderId="34" xfId="0" applyNumberFormat="1" applyFont="1" applyFill="1" applyBorder="1" applyAlignment="1">
      <alignment vertical="center"/>
    </xf>
    <xf numFmtId="0" fontId="7"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7" fillId="0" borderId="36" xfId="0" applyFont="1" applyBorder="1" applyAlignment="1">
      <alignment vertical="center"/>
    </xf>
    <xf numFmtId="44" fontId="7" fillId="0" borderId="36" xfId="0" applyNumberFormat="1" applyFont="1" applyBorder="1" applyAlignment="1">
      <alignment vertical="center"/>
    </xf>
    <xf numFmtId="44" fontId="7" fillId="0" borderId="36" xfId="2" applyNumberFormat="1" applyFont="1" applyBorder="1" applyAlignment="1">
      <alignment vertical="center"/>
    </xf>
    <xf numFmtId="0" fontId="5" fillId="0" borderId="36" xfId="0" applyFont="1" applyBorder="1" applyAlignment="1">
      <alignment vertical="center"/>
    </xf>
    <xf numFmtId="44" fontId="7" fillId="0" borderId="37" xfId="0" applyNumberFormat="1" applyFont="1" applyBorder="1" applyAlignment="1">
      <alignment vertical="center"/>
    </xf>
    <xf numFmtId="44" fontId="7" fillId="0" borderId="37" xfId="1" applyFont="1" applyFill="1" applyBorder="1" applyAlignment="1">
      <alignment vertical="center"/>
    </xf>
    <xf numFmtId="44" fontId="5" fillId="0" borderId="0" xfId="0" applyNumberFormat="1" applyFont="1" applyAlignment="1">
      <alignment vertical="center"/>
    </xf>
    <xf numFmtId="44" fontId="5" fillId="0" borderId="36" xfId="1" applyFont="1" applyFill="1" applyBorder="1" applyAlignment="1">
      <alignment vertical="center"/>
    </xf>
    <xf numFmtId="44" fontId="5" fillId="0" borderId="36" xfId="0" applyNumberFormat="1" applyFont="1" applyBorder="1" applyAlignment="1">
      <alignment vertical="center"/>
    </xf>
    <xf numFmtId="44" fontId="5" fillId="3" borderId="0" xfId="0" applyNumberFormat="1" applyFont="1" applyFill="1" applyAlignment="1" applyProtection="1">
      <alignment vertical="center"/>
      <protection locked="0"/>
    </xf>
    <xf numFmtId="44" fontId="5" fillId="0" borderId="0" xfId="1" applyFont="1" applyAlignment="1">
      <alignment vertical="center"/>
    </xf>
    <xf numFmtId="0" fontId="7" fillId="0" borderId="37" xfId="0" applyFont="1" applyBorder="1" applyAlignment="1">
      <alignment vertical="center"/>
    </xf>
    <xf numFmtId="0" fontId="9" fillId="0" borderId="0" xfId="0" applyFont="1" applyAlignment="1">
      <alignment vertical="center"/>
    </xf>
    <xf numFmtId="0" fontId="7" fillId="0" borderId="36" xfId="0" applyFont="1" applyBorder="1" applyAlignment="1">
      <alignment horizontal="left" vertical="center"/>
    </xf>
    <xf numFmtId="0" fontId="5" fillId="0" borderId="36" xfId="0" applyFont="1" applyBorder="1"/>
    <xf numFmtId="44" fontId="8" fillId="0" borderId="36" xfId="0" applyNumberFormat="1" applyFont="1" applyBorder="1" applyAlignment="1">
      <alignment vertical="center"/>
    </xf>
    <xf numFmtId="0" fontId="5" fillId="0" borderId="0" xfId="0" applyFont="1" applyAlignment="1">
      <alignment horizontal="left" vertical="center" wrapText="1"/>
    </xf>
    <xf numFmtId="0" fontId="5" fillId="0" borderId="36" xfId="0" applyFont="1" applyBorder="1" applyAlignment="1">
      <alignment horizontal="left" vertical="center" wrapText="1"/>
    </xf>
    <xf numFmtId="0" fontId="4" fillId="0" borderId="1" xfId="0" applyFont="1" applyBorder="1" applyAlignment="1">
      <alignment horizontal="center" vertical="center"/>
    </xf>
    <xf numFmtId="0" fontId="15" fillId="0" borderId="0" xfId="4" applyFont="1"/>
    <xf numFmtId="0" fontId="20" fillId="0" borderId="0" xfId="0" applyFont="1" applyAlignment="1">
      <alignment vertical="center"/>
    </xf>
    <xf numFmtId="0" fontId="7" fillId="0" borderId="1" xfId="0" applyFont="1" applyBorder="1" applyAlignment="1">
      <alignment horizontal="center" vertical="center"/>
    </xf>
    <xf numFmtId="44" fontId="5" fillId="0" borderId="1" xfId="1" applyFont="1" applyFill="1" applyBorder="1" applyAlignment="1">
      <alignment vertical="center"/>
    </xf>
    <xf numFmtId="44" fontId="5" fillId="0" borderId="1" xfId="1" applyFont="1" applyBorder="1" applyAlignment="1">
      <alignment vertical="center"/>
    </xf>
    <xf numFmtId="1" fontId="5" fillId="0" borderId="1" xfId="0" applyNumberFormat="1" applyFont="1" applyBorder="1" applyAlignment="1">
      <alignment vertical="center"/>
    </xf>
    <xf numFmtId="0" fontId="5" fillId="0" borderId="10" xfId="0" applyFont="1" applyBorder="1" applyAlignment="1">
      <alignment vertical="center"/>
    </xf>
    <xf numFmtId="3" fontId="7" fillId="0" borderId="28" xfId="0" applyNumberFormat="1" applyFont="1" applyBorder="1" applyAlignment="1">
      <alignment vertical="center"/>
    </xf>
    <xf numFmtId="44" fontId="7" fillId="0" borderId="28" xfId="0" applyNumberFormat="1" applyFont="1" applyBorder="1" applyAlignment="1">
      <alignment vertical="center"/>
    </xf>
    <xf numFmtId="8" fontId="5" fillId="0" borderId="1" xfId="0" applyNumberFormat="1" applyFont="1" applyBorder="1" applyAlignment="1">
      <alignment vertical="center"/>
    </xf>
    <xf numFmtId="44" fontId="5" fillId="0" borderId="1" xfId="0" applyNumberFormat="1" applyFont="1" applyBorder="1" applyAlignment="1">
      <alignment vertical="center"/>
    </xf>
    <xf numFmtId="8" fontId="5" fillId="0" borderId="0" xfId="1" applyNumberFormat="1" applyFont="1" applyBorder="1" applyAlignment="1">
      <alignment vertical="center"/>
    </xf>
    <xf numFmtId="8" fontId="7" fillId="0" borderId="28" xfId="0" applyNumberFormat="1" applyFont="1" applyBorder="1" applyAlignment="1">
      <alignment vertical="center"/>
    </xf>
    <xf numFmtId="2" fontId="7" fillId="0" borderId="28" xfId="0" applyNumberFormat="1" applyFont="1" applyBorder="1" applyAlignment="1">
      <alignment vertical="center"/>
    </xf>
    <xf numFmtId="44" fontId="7" fillId="0" borderId="28" xfId="0" applyNumberFormat="1" applyFont="1" applyBorder="1"/>
    <xf numFmtId="0" fontId="20" fillId="0" borderId="0" xfId="0" applyFont="1"/>
    <xf numFmtId="0" fontId="3" fillId="0" borderId="25" xfId="0" applyFont="1" applyBorder="1" applyAlignment="1">
      <alignment horizontal="center"/>
    </xf>
    <xf numFmtId="0" fontId="3" fillId="0" borderId="25" xfId="0" applyFont="1" applyBorder="1"/>
    <xf numFmtId="0" fontId="3" fillId="0" borderId="2" xfId="4" applyFont="1" applyBorder="1"/>
    <xf numFmtId="0" fontId="3" fillId="0" borderId="0" xfId="4" applyFont="1"/>
    <xf numFmtId="0" fontId="3" fillId="0" borderId="7" xfId="0" applyFont="1" applyBorder="1" applyAlignment="1">
      <alignment horizontal="center"/>
    </xf>
    <xf numFmtId="0" fontId="3" fillId="0" borderId="1" xfId="0" applyFont="1" applyBorder="1" applyAlignment="1">
      <alignment horizontal="center"/>
    </xf>
    <xf numFmtId="0" fontId="5" fillId="0" borderId="1" xfId="0" applyFont="1" applyBorder="1" applyAlignment="1">
      <alignment horizontal="center"/>
    </xf>
    <xf numFmtId="0" fontId="3" fillId="0" borderId="6" xfId="0" applyFont="1" applyBorder="1" applyAlignment="1">
      <alignment horizontal="center"/>
    </xf>
    <xf numFmtId="0" fontId="5" fillId="0" borderId="1" xfId="0" applyFont="1" applyBorder="1"/>
    <xf numFmtId="4" fontId="3" fillId="0" borderId="1" xfId="0" applyNumberFormat="1" applyFont="1" applyBorder="1"/>
    <xf numFmtId="2" fontId="3" fillId="0" borderId="2" xfId="0" applyNumberFormat="1" applyFont="1" applyBorder="1"/>
    <xf numFmtId="2" fontId="3" fillId="0" borderId="0" xfId="0" applyNumberFormat="1" applyFont="1"/>
    <xf numFmtId="0" fontId="4" fillId="0" borderId="25" xfId="0" applyFont="1" applyBorder="1"/>
    <xf numFmtId="0" fontId="4" fillId="0" borderId="25" xfId="0" applyFont="1" applyBorder="1" applyAlignment="1">
      <alignment horizontal="center"/>
    </xf>
    <xf numFmtId="0" fontId="15" fillId="0" borderId="0" xfId="0" applyFont="1"/>
    <xf numFmtId="20" fontId="5" fillId="3" borderId="1" xfId="0" applyNumberFormat="1" applyFont="1" applyFill="1" applyBorder="1" applyAlignment="1" applyProtection="1">
      <alignment vertical="center"/>
      <protection locked="0"/>
    </xf>
    <xf numFmtId="44" fontId="5" fillId="3" borderId="1" xfId="1" applyFont="1" applyFill="1" applyBorder="1" applyAlignment="1" applyProtection="1">
      <alignment vertical="center"/>
      <protection locked="0"/>
    </xf>
    <xf numFmtId="10" fontId="5" fillId="3" borderId="1" xfId="0" applyNumberFormat="1" applyFont="1" applyFill="1" applyBorder="1" applyAlignment="1" applyProtection="1">
      <alignment vertical="center"/>
      <protection locked="0"/>
    </xf>
    <xf numFmtId="2" fontId="5" fillId="3" borderId="1" xfId="1" applyNumberFormat="1" applyFont="1" applyFill="1" applyBorder="1" applyAlignment="1" applyProtection="1">
      <alignment vertical="center"/>
      <protection locked="0"/>
    </xf>
    <xf numFmtId="0" fontId="6" fillId="0" borderId="0" xfId="4" applyFont="1"/>
    <xf numFmtId="4" fontId="7" fillId="0" borderId="0" xfId="0" applyNumberFormat="1" applyFont="1" applyAlignment="1">
      <alignment vertical="center"/>
    </xf>
    <xf numFmtId="171" fontId="5" fillId="0" borderId="10" xfId="1" applyNumberFormat="1" applyFont="1" applyFill="1" applyBorder="1" applyAlignment="1">
      <alignment horizontal="center" vertical="center" wrapText="1"/>
    </xf>
    <xf numFmtId="8" fontId="5" fillId="0" borderId="38" xfId="0" applyNumberFormat="1" applyFont="1" applyBorder="1" applyAlignment="1">
      <alignment horizontal="center" vertical="center" wrapText="1"/>
    </xf>
    <xf numFmtId="8" fontId="5" fillId="0" borderId="10" xfId="0" applyNumberFormat="1" applyFont="1" applyBorder="1" applyAlignment="1">
      <alignment vertical="center" wrapText="1"/>
    </xf>
    <xf numFmtId="171" fontId="5" fillId="0" borderId="9" xfId="1" applyNumberFormat="1" applyFont="1" applyFill="1" applyBorder="1" applyAlignment="1">
      <alignment horizontal="center" vertical="center" wrapText="1"/>
    </xf>
    <xf numFmtId="8" fontId="5" fillId="0" borderId="1" xfId="0" applyNumberFormat="1" applyFont="1" applyBorder="1" applyAlignment="1">
      <alignment horizontal="center" vertical="center" wrapText="1"/>
    </xf>
    <xf numFmtId="8" fontId="5" fillId="0" borderId="39" xfId="0" applyNumberFormat="1" applyFont="1" applyBorder="1" applyAlignment="1">
      <alignment horizontal="center" vertical="center" wrapText="1"/>
    </xf>
    <xf numFmtId="9" fontId="5" fillId="0" borderId="9" xfId="2" applyFont="1" applyFill="1" applyBorder="1" applyAlignment="1">
      <alignment horizontal="center" vertical="center" wrapText="1"/>
    </xf>
    <xf numFmtId="165" fontId="5" fillId="0" borderId="9" xfId="5" applyNumberFormat="1" applyFont="1" applyBorder="1" applyAlignment="1">
      <alignment horizontal="center" vertical="center" wrapText="1"/>
    </xf>
    <xf numFmtId="0" fontId="5" fillId="5" borderId="0" xfId="0" applyFont="1" applyFill="1" applyAlignment="1">
      <alignment horizontal="center" vertical="center" wrapText="1"/>
    </xf>
    <xf numFmtId="49" fontId="5" fillId="5" borderId="0" xfId="1" applyNumberFormat="1" applyFont="1" applyFill="1" applyBorder="1" applyAlignment="1">
      <alignment horizontal="center" vertical="center" wrapText="1"/>
    </xf>
    <xf numFmtId="171" fontId="5" fillId="5" borderId="0" xfId="1" applyNumberFormat="1" applyFont="1" applyFill="1" applyBorder="1" applyAlignment="1">
      <alignment horizontal="center" vertical="center" wrapText="1"/>
    </xf>
    <xf numFmtId="8" fontId="5" fillId="5" borderId="0" xfId="0" applyNumberFormat="1" applyFont="1" applyFill="1" applyAlignment="1">
      <alignment horizontal="center" vertical="center" wrapText="1"/>
    </xf>
    <xf numFmtId="10" fontId="5" fillId="5" borderId="0" xfId="2" applyNumberFormat="1" applyFont="1" applyFill="1" applyBorder="1" applyAlignment="1" applyProtection="1">
      <alignment horizontal="center" vertical="center"/>
    </xf>
    <xf numFmtId="8" fontId="5" fillId="5" borderId="25" xfId="0" applyNumberFormat="1" applyFont="1" applyFill="1" applyBorder="1" applyAlignment="1">
      <alignment horizontal="center" vertical="center" wrapText="1"/>
    </xf>
    <xf numFmtId="9" fontId="5" fillId="5" borderId="25" xfId="2" applyFont="1" applyFill="1" applyBorder="1" applyAlignment="1">
      <alignment horizontal="left" vertical="center"/>
    </xf>
    <xf numFmtId="165" fontId="5" fillId="5" borderId="25" xfId="5" applyNumberFormat="1" applyFont="1" applyFill="1" applyBorder="1" applyAlignment="1">
      <alignment horizontal="center" vertical="center" wrapText="1"/>
    </xf>
    <xf numFmtId="9" fontId="5" fillId="5" borderId="25" xfId="2" applyFont="1" applyFill="1" applyBorder="1" applyAlignment="1">
      <alignment horizontal="center" vertical="center" wrapText="1"/>
    </xf>
    <xf numFmtId="0" fontId="5" fillId="5" borderId="25"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7" fillId="5" borderId="0" xfId="0" applyFont="1" applyFill="1" applyAlignment="1">
      <alignment vertical="center"/>
    </xf>
    <xf numFmtId="49" fontId="21" fillId="5" borderId="0" xfId="0" applyNumberFormat="1" applyFont="1" applyFill="1" applyAlignment="1">
      <alignment vertical="center"/>
    </xf>
    <xf numFmtId="49" fontId="21" fillId="5" borderId="0" xfId="0" applyNumberFormat="1" applyFont="1" applyFill="1" applyAlignment="1">
      <alignment horizontal="center" vertical="center"/>
    </xf>
    <xf numFmtId="171" fontId="21" fillId="5" borderId="0" xfId="0" applyNumberFormat="1" applyFont="1" applyFill="1" applyAlignment="1">
      <alignment horizontal="center" vertical="center"/>
    </xf>
    <xf numFmtId="8" fontId="21" fillId="5" borderId="0" xfId="0" applyNumberFormat="1" applyFont="1" applyFill="1" applyAlignment="1">
      <alignment vertical="center"/>
    </xf>
    <xf numFmtId="8" fontId="22" fillId="5" borderId="5" xfId="0" applyNumberFormat="1" applyFont="1" applyFill="1" applyBorder="1" applyAlignment="1" applyProtection="1">
      <alignment vertical="center"/>
      <protection locked="0" hidden="1"/>
    </xf>
    <xf numFmtId="8" fontId="21" fillId="5" borderId="5" xfId="0" applyNumberFormat="1" applyFont="1" applyFill="1" applyBorder="1" applyAlignment="1">
      <alignment vertical="center"/>
    </xf>
    <xf numFmtId="0" fontId="21" fillId="5" borderId="5" xfId="0" applyFont="1" applyFill="1" applyBorder="1" applyAlignment="1">
      <alignment vertical="center"/>
    </xf>
    <xf numFmtId="165" fontId="21" fillId="5" borderId="5" xfId="0" applyNumberFormat="1" applyFont="1" applyFill="1" applyBorder="1" applyAlignment="1">
      <alignment vertical="center"/>
    </xf>
    <xf numFmtId="0" fontId="23" fillId="5" borderId="5" xfId="0" applyFont="1" applyFill="1" applyBorder="1" applyAlignment="1">
      <alignment vertical="center"/>
    </xf>
    <xf numFmtId="171" fontId="5" fillId="0" borderId="1" xfId="0" applyNumberFormat="1" applyFont="1" applyBorder="1" applyAlignment="1">
      <alignment horizontal="center" vertical="center"/>
    </xf>
    <xf numFmtId="44" fontId="5" fillId="6" borderId="1" xfId="0" applyNumberFormat="1" applyFont="1" applyFill="1" applyBorder="1" applyAlignment="1">
      <alignment vertical="center"/>
    </xf>
    <xf numFmtId="8" fontId="5" fillId="6" borderId="1" xfId="0" applyNumberFormat="1" applyFont="1" applyFill="1" applyBorder="1" applyAlignment="1">
      <alignment vertical="center"/>
    </xf>
    <xf numFmtId="165" fontId="5" fillId="0" borderId="6" xfId="0" applyNumberFormat="1" applyFont="1" applyBorder="1" applyAlignment="1">
      <alignment vertical="center"/>
    </xf>
    <xf numFmtId="165" fontId="14" fillId="0" borderId="1" xfId="0" applyNumberFormat="1" applyFont="1" applyBorder="1" applyAlignment="1">
      <alignment vertical="center"/>
    </xf>
    <xf numFmtId="165" fontId="5" fillId="7" borderId="1" xfId="0" applyNumberFormat="1" applyFont="1" applyFill="1" applyBorder="1" applyAlignment="1">
      <alignment vertical="center"/>
    </xf>
    <xf numFmtId="0" fontId="5" fillId="5" borderId="0" xfId="0" applyFont="1" applyFill="1" applyAlignment="1">
      <alignment vertical="center"/>
    </xf>
    <xf numFmtId="165" fontId="21" fillId="5" borderId="0" xfId="0" applyNumberFormat="1" applyFont="1" applyFill="1" applyAlignment="1">
      <alignment vertical="center"/>
    </xf>
    <xf numFmtId="165" fontId="5" fillId="5" borderId="0" xfId="0" applyNumberFormat="1" applyFont="1" applyFill="1" applyAlignment="1">
      <alignment vertical="center"/>
    </xf>
    <xf numFmtId="165" fontId="23" fillId="5" borderId="0" xfId="0" applyNumberFormat="1" applyFont="1" applyFill="1" applyAlignment="1">
      <alignment vertical="center"/>
    </xf>
    <xf numFmtId="165" fontId="14" fillId="5" borderId="0" xfId="0" applyNumberFormat="1" applyFont="1" applyFill="1" applyAlignment="1">
      <alignment vertical="center"/>
    </xf>
    <xf numFmtId="165" fontId="6" fillId="5" borderId="0" xfId="0" applyNumberFormat="1" applyFont="1" applyFill="1" applyAlignment="1">
      <alignment vertical="center"/>
    </xf>
    <xf numFmtId="49" fontId="5" fillId="5" borderId="0" xfId="0" applyNumberFormat="1" applyFont="1" applyFill="1" applyAlignment="1">
      <alignment vertical="center"/>
    </xf>
    <xf numFmtId="49" fontId="5" fillId="5" borderId="0" xfId="0" applyNumberFormat="1" applyFont="1" applyFill="1" applyAlignment="1">
      <alignment horizontal="center" vertical="center"/>
    </xf>
    <xf numFmtId="171" fontId="5" fillId="5" borderId="0" xfId="0" applyNumberFormat="1" applyFont="1" applyFill="1" applyAlignment="1">
      <alignment horizontal="center" vertical="center"/>
    </xf>
    <xf numFmtId="8" fontId="5" fillId="5" borderId="0" xfId="0" applyNumberFormat="1" applyFont="1" applyFill="1" applyAlignment="1">
      <alignment vertical="center"/>
    </xf>
    <xf numFmtId="165" fontId="7" fillId="5" borderId="0" xfId="0" applyNumberFormat="1" applyFont="1" applyFill="1" applyAlignment="1">
      <alignment horizontal="center" vertical="center"/>
    </xf>
    <xf numFmtId="10" fontId="5" fillId="3" borderId="1" xfId="2"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vertical="center"/>
      <protection locked="0"/>
    </xf>
    <xf numFmtId="49" fontId="5" fillId="3" borderId="1" xfId="0" applyNumberFormat="1" applyFont="1" applyFill="1" applyBorder="1" applyAlignment="1" applyProtection="1">
      <alignment horizontal="center" vertical="center"/>
      <protection locked="0"/>
    </xf>
    <xf numFmtId="171" fontId="5" fillId="3" borderId="1" xfId="0" applyNumberFormat="1" applyFont="1" applyFill="1" applyBorder="1" applyAlignment="1" applyProtection="1">
      <alignment horizontal="center" vertical="center"/>
      <protection locked="0"/>
    </xf>
    <xf numFmtId="8" fontId="5" fillId="3" borderId="1" xfId="0" applyNumberFormat="1" applyFont="1" applyFill="1" applyBorder="1" applyAlignment="1" applyProtection="1">
      <alignment vertical="center"/>
      <protection locked="0"/>
    </xf>
    <xf numFmtId="10" fontId="5" fillId="3" borderId="1" xfId="2" applyNumberFormat="1" applyFont="1" applyFill="1" applyBorder="1" applyAlignment="1" applyProtection="1">
      <alignment horizontal="right" vertical="center"/>
      <protection locked="0"/>
    </xf>
    <xf numFmtId="49" fontId="5" fillId="0" borderId="0" xfId="0" applyNumberFormat="1" applyFont="1"/>
    <xf numFmtId="49" fontId="5" fillId="0" borderId="0" xfId="0" applyNumberFormat="1" applyFont="1" applyAlignment="1">
      <alignment horizontal="center" vertical="center"/>
    </xf>
    <xf numFmtId="171" fontId="5" fillId="0" borderId="0" xfId="0" applyNumberFormat="1" applyFont="1" applyAlignment="1">
      <alignment horizontal="center" vertical="center"/>
    </xf>
    <xf numFmtId="8" fontId="5" fillId="0" borderId="0" xfId="0" applyNumberFormat="1" applyFont="1"/>
    <xf numFmtId="8" fontId="5" fillId="0" borderId="0" xfId="0" applyNumberFormat="1" applyFont="1" applyAlignment="1">
      <alignment horizontal="center"/>
    </xf>
    <xf numFmtId="0" fontId="14" fillId="0" borderId="0" xfId="0" applyFont="1"/>
    <xf numFmtId="0" fontId="21" fillId="0" borderId="0" xfId="0" applyFont="1"/>
    <xf numFmtId="172" fontId="5" fillId="0" borderId="1" xfId="0" applyNumberFormat="1" applyFont="1" applyBorder="1" applyAlignment="1">
      <alignment vertical="center"/>
    </xf>
    <xf numFmtId="10" fontId="5" fillId="0" borderId="1" xfId="2" applyNumberFormat="1" applyFont="1" applyBorder="1" applyAlignment="1" applyProtection="1">
      <alignment vertical="center"/>
    </xf>
    <xf numFmtId="165" fontId="5" fillId="0" borderId="1" xfId="0" applyNumberFormat="1" applyFont="1" applyBorder="1" applyAlignment="1">
      <alignment horizontal="right" vertical="center"/>
    </xf>
    <xf numFmtId="0" fontId="6" fillId="0" borderId="0" xfId="0" applyFont="1" applyAlignment="1">
      <alignment vertical="center"/>
    </xf>
    <xf numFmtId="44" fontId="5" fillId="0" borderId="1" xfId="1" applyFont="1" applyBorder="1" applyAlignment="1" applyProtection="1">
      <alignment vertical="center"/>
    </xf>
    <xf numFmtId="0" fontId="26" fillId="0" borderId="0" xfId="0" applyFont="1" applyAlignment="1">
      <alignment vertical="center"/>
    </xf>
    <xf numFmtId="0" fontId="21" fillId="0" borderId="0" xfId="0" applyFont="1" applyAlignment="1">
      <alignment vertical="center"/>
    </xf>
    <xf numFmtId="44" fontId="26" fillId="0" borderId="0" xfId="0" applyNumberFormat="1" applyFont="1" applyAlignment="1">
      <alignment vertical="center"/>
    </xf>
    <xf numFmtId="173" fontId="5" fillId="0" borderId="1" xfId="0" applyNumberFormat="1" applyFont="1" applyBorder="1" applyAlignment="1">
      <alignment vertical="center"/>
    </xf>
    <xf numFmtId="165" fontId="21" fillId="0" borderId="0" xfId="0" applyNumberFormat="1" applyFont="1" applyAlignment="1">
      <alignment vertical="center"/>
    </xf>
    <xf numFmtId="44" fontId="26" fillId="0" borderId="1" xfId="0" applyNumberFormat="1" applyFont="1" applyBorder="1" applyAlignment="1">
      <alignment vertical="center"/>
    </xf>
    <xf numFmtId="165" fontId="5" fillId="0" borderId="5" xfId="0" applyNumberFormat="1" applyFont="1" applyBorder="1" applyAlignment="1">
      <alignment vertical="center"/>
    </xf>
    <xf numFmtId="0" fontId="26" fillId="0" borderId="1" xfId="0" applyFont="1" applyBorder="1" applyAlignment="1">
      <alignment vertical="center"/>
    </xf>
    <xf numFmtId="10" fontId="5" fillId="0" borderId="28" xfId="2" applyNumberFormat="1" applyFont="1" applyBorder="1" applyAlignment="1" applyProtection="1">
      <alignment vertical="center"/>
    </xf>
    <xf numFmtId="169" fontId="7" fillId="0" borderId="28" xfId="0" applyNumberFormat="1" applyFont="1" applyBorder="1" applyAlignment="1">
      <alignment vertical="center"/>
    </xf>
    <xf numFmtId="169" fontId="5" fillId="3" borderId="1" xfId="2" applyNumberFormat="1" applyFont="1" applyFill="1" applyBorder="1" applyAlignment="1" applyProtection="1">
      <alignment vertical="center"/>
      <protection locked="0"/>
    </xf>
    <xf numFmtId="169" fontId="5" fillId="3" borderId="10" xfId="2" applyNumberFormat="1" applyFont="1" applyFill="1" applyBorder="1" applyAlignment="1" applyProtection="1">
      <alignment vertical="center"/>
      <protection locked="0"/>
    </xf>
    <xf numFmtId="10" fontId="5" fillId="3" borderId="1" xfId="2" applyNumberFormat="1" applyFont="1" applyFill="1" applyBorder="1" applyAlignment="1" applyProtection="1">
      <alignment vertical="center"/>
      <protection locked="0"/>
    </xf>
    <xf numFmtId="44" fontId="5" fillId="3" borderId="1" xfId="2" applyNumberFormat="1" applyFont="1" applyFill="1" applyBorder="1" applyAlignment="1" applyProtection="1">
      <alignment vertical="center"/>
      <protection locked="0"/>
    </xf>
    <xf numFmtId="10" fontId="26" fillId="3" borderId="1" xfId="2" applyNumberFormat="1" applyFont="1" applyFill="1" applyBorder="1" applyAlignment="1" applyProtection="1">
      <alignment vertical="center"/>
      <protection locked="0"/>
    </xf>
    <xf numFmtId="169" fontId="5" fillId="0" borderId="1" xfId="0" applyNumberFormat="1" applyFont="1" applyBorder="1" applyAlignment="1">
      <alignment horizontal="center" vertical="center"/>
    </xf>
    <xf numFmtId="0" fontId="5" fillId="0" borderId="1" xfId="0" applyFont="1" applyBorder="1" applyAlignment="1">
      <alignment horizontal="center" vertical="center"/>
    </xf>
    <xf numFmtId="2" fontId="9" fillId="0" borderId="0" xfId="0" applyNumberFormat="1" applyFont="1" applyAlignment="1">
      <alignment vertical="center"/>
    </xf>
    <xf numFmtId="44" fontId="5" fillId="0" borderId="1" xfId="1" applyFont="1" applyBorder="1" applyAlignment="1">
      <alignment horizontal="right" vertical="center"/>
    </xf>
    <xf numFmtId="0" fontId="5" fillId="0" borderId="1" xfId="0" applyFont="1" applyBorder="1" applyAlignment="1">
      <alignment horizontal="center" vertical="center" wrapText="1"/>
    </xf>
    <xf numFmtId="0" fontId="5" fillId="3" borderId="1" xfId="0" applyFont="1" applyFill="1" applyBorder="1" applyProtection="1">
      <protection locked="0"/>
    </xf>
    <xf numFmtId="3" fontId="3" fillId="0" borderId="1" xfId="0" applyNumberFormat="1" applyFont="1" applyBorder="1" applyAlignment="1">
      <alignment vertical="top" wrapText="1"/>
    </xf>
    <xf numFmtId="4" fontId="3" fillId="0" borderId="24" xfId="0" applyNumberFormat="1" applyFont="1" applyBorder="1" applyAlignment="1">
      <alignment horizontal="center" vertical="top" wrapText="1"/>
    </xf>
    <xf numFmtId="0" fontId="3" fillId="0" borderId="40" xfId="0" applyFont="1" applyBorder="1" applyAlignment="1">
      <alignment horizontal="center" vertical="top" wrapText="1"/>
    </xf>
    <xf numFmtId="2" fontId="3" fillId="3" borderId="23" xfId="3" applyNumberFormat="1" applyFont="1" applyFill="1" applyBorder="1" applyAlignment="1" applyProtection="1">
      <alignment vertical="top" wrapText="1"/>
      <protection locked="0"/>
    </xf>
    <xf numFmtId="2" fontId="3" fillId="3" borderId="24" xfId="3" applyNumberFormat="1" applyFont="1" applyFill="1" applyBorder="1" applyAlignment="1" applyProtection="1">
      <alignment vertical="top" wrapText="1"/>
      <protection locked="0"/>
    </xf>
    <xf numFmtId="3" fontId="3" fillId="3" borderId="20" xfId="3" applyNumberFormat="1" applyFont="1" applyFill="1" applyBorder="1" applyAlignment="1" applyProtection="1">
      <alignment vertical="top" wrapText="1"/>
      <protection locked="0"/>
    </xf>
    <xf numFmtId="0" fontId="3" fillId="5" borderId="23" xfId="0" applyFont="1" applyFill="1" applyBorder="1" applyAlignment="1">
      <alignment horizontal="center" vertical="top" wrapText="1"/>
    </xf>
    <xf numFmtId="4" fontId="3" fillId="5" borderId="24" xfId="0" applyNumberFormat="1" applyFont="1" applyFill="1" applyBorder="1" applyAlignment="1">
      <alignment horizontal="center" vertical="top" wrapText="1"/>
    </xf>
    <xf numFmtId="3" fontId="3" fillId="5" borderId="20" xfId="0" applyNumberFormat="1" applyFont="1" applyFill="1" applyBorder="1" applyAlignment="1">
      <alignment horizontal="center" vertical="top" wrapText="1"/>
    </xf>
    <xf numFmtId="0" fontId="3" fillId="5" borderId="20" xfId="0" applyFont="1" applyFill="1" applyBorder="1" applyAlignment="1">
      <alignment horizontal="center" vertical="top" wrapText="1"/>
    </xf>
    <xf numFmtId="0" fontId="3" fillId="5" borderId="40" xfId="0" applyFont="1" applyFill="1" applyBorder="1" applyAlignment="1">
      <alignment horizontal="center" vertical="top" wrapText="1"/>
    </xf>
    <xf numFmtId="169" fontId="5" fillId="3" borderId="1" xfId="0" applyNumberFormat="1" applyFont="1" applyFill="1" applyBorder="1" applyProtection="1">
      <protection locked="0"/>
    </xf>
    <xf numFmtId="44" fontId="7" fillId="5" borderId="1" xfId="0" applyNumberFormat="1" applyFont="1" applyFill="1" applyBorder="1"/>
    <xf numFmtId="0" fontId="5" fillId="5" borderId="0" xfId="0" applyFont="1" applyFill="1"/>
    <xf numFmtId="0" fontId="5" fillId="5" borderId="5" xfId="0" applyFont="1" applyFill="1" applyBorder="1"/>
    <xf numFmtId="44" fontId="5" fillId="5" borderId="0" xfId="0" applyNumberFormat="1" applyFont="1" applyFill="1" applyAlignment="1">
      <alignment vertical="center"/>
    </xf>
    <xf numFmtId="44" fontId="5" fillId="5" borderId="36" xfId="0" applyNumberFormat="1" applyFont="1" applyFill="1" applyBorder="1" applyAlignment="1">
      <alignment vertical="center"/>
    </xf>
    <xf numFmtId="44" fontId="7" fillId="5" borderId="37" xfId="0" applyNumberFormat="1" applyFont="1" applyFill="1" applyBorder="1" applyAlignment="1">
      <alignment vertical="center"/>
    </xf>
    <xf numFmtId="44" fontId="7" fillId="5" borderId="36" xfId="0" applyNumberFormat="1" applyFont="1" applyFill="1" applyBorder="1" applyAlignment="1">
      <alignment vertical="center"/>
    </xf>
    <xf numFmtId="0" fontId="5" fillId="5" borderId="36" xfId="0" applyFont="1" applyFill="1" applyBorder="1"/>
    <xf numFmtId="0" fontId="3" fillId="0" borderId="0" xfId="0" applyFont="1"/>
    <xf numFmtId="4" fontId="5" fillId="0" borderId="0" xfId="0" applyNumberFormat="1" applyFont="1"/>
    <xf numFmtId="0" fontId="5" fillId="0" borderId="0" xfId="0" applyFont="1" applyAlignment="1">
      <alignment horizontal="right" vertical="center"/>
    </xf>
    <xf numFmtId="0" fontId="5" fillId="0" borderId="1" xfId="0" applyFont="1" applyBorder="1" applyAlignment="1">
      <alignment vertical="center" wrapText="1"/>
    </xf>
    <xf numFmtId="44" fontId="5" fillId="3" borderId="1" xfId="1" applyFont="1" applyFill="1" applyBorder="1" applyAlignment="1" applyProtection="1">
      <alignment horizontal="right" vertical="center"/>
      <protection locked="0"/>
    </xf>
    <xf numFmtId="4" fontId="5" fillId="0" borderId="1" xfId="0" applyNumberFormat="1" applyFont="1" applyBorder="1" applyAlignment="1">
      <alignment vertical="center"/>
    </xf>
    <xf numFmtId="0" fontId="27" fillId="0" borderId="0" xfId="0" applyFont="1"/>
    <xf numFmtId="169" fontId="7" fillId="0" borderId="0" xfId="0" applyNumberFormat="1" applyFont="1" applyAlignment="1">
      <alignment vertical="center"/>
    </xf>
    <xf numFmtId="169" fontId="7" fillId="0" borderId="0" xfId="2" applyNumberFormat="1" applyFont="1" applyFill="1" applyBorder="1" applyProtection="1">
      <protection locked="0"/>
    </xf>
    <xf numFmtId="165" fontId="7" fillId="0" borderId="0" xfId="0" applyNumberFormat="1" applyFont="1"/>
    <xf numFmtId="0" fontId="16" fillId="0" borderId="1" xfId="0" applyFont="1" applyBorder="1" applyAlignment="1">
      <alignment horizontal="center" vertical="center" wrapText="1"/>
    </xf>
    <xf numFmtId="0" fontId="7" fillId="0" borderId="0" xfId="0" applyFont="1" applyAlignment="1">
      <alignment horizontal="right" vertical="center"/>
    </xf>
    <xf numFmtId="44" fontId="5" fillId="0" borderId="36" xfId="1" applyFont="1" applyFill="1" applyBorder="1" applyAlignment="1" applyProtection="1">
      <alignment vertical="center"/>
    </xf>
    <xf numFmtId="0" fontId="5" fillId="5" borderId="0" xfId="0" applyFont="1" applyFill="1" applyAlignment="1">
      <alignment horizontal="center" vertical="center"/>
    </xf>
    <xf numFmtId="44" fontId="7" fillId="0" borderId="37" xfId="1" applyFont="1" applyFill="1" applyBorder="1" applyAlignment="1" applyProtection="1">
      <alignment vertical="center"/>
    </xf>
    <xf numFmtId="44" fontId="7" fillId="5" borderId="37" xfId="1" applyFont="1" applyFill="1" applyBorder="1" applyAlignment="1" applyProtection="1">
      <alignment vertical="center"/>
    </xf>
    <xf numFmtId="10" fontId="5" fillId="0" borderId="0" xfId="2" applyNumberFormat="1" applyFont="1"/>
    <xf numFmtId="3" fontId="5" fillId="0" borderId="1" xfId="0" applyNumberFormat="1" applyFont="1" applyBorder="1" applyAlignment="1">
      <alignment horizontal="center" vertical="center"/>
    </xf>
    <xf numFmtId="4" fontId="5" fillId="5" borderId="1" xfId="0" applyNumberFormat="1" applyFont="1" applyFill="1" applyBorder="1" applyAlignment="1" applyProtection="1">
      <alignment horizontal="center"/>
      <protection locked="0"/>
    </xf>
    <xf numFmtId="170" fontId="5" fillId="3" borderId="0" xfId="0" applyNumberFormat="1" applyFont="1" applyFill="1" applyAlignment="1" applyProtection="1">
      <alignment horizontal="center" vertical="center"/>
      <protection locked="0"/>
    </xf>
    <xf numFmtId="0" fontId="28" fillId="0" borderId="1" xfId="0" applyFont="1" applyBorder="1" applyAlignment="1">
      <alignment horizontal="center"/>
    </xf>
    <xf numFmtId="44" fontId="4" fillId="0" borderId="28" xfId="1" applyFont="1" applyFill="1" applyBorder="1"/>
    <xf numFmtId="44" fontId="3" fillId="0" borderId="6" xfId="1" applyFont="1" applyFill="1" applyBorder="1"/>
    <xf numFmtId="44" fontId="3" fillId="0" borderId="1" xfId="1" applyFont="1" applyFill="1" applyBorder="1"/>
    <xf numFmtId="44" fontId="3" fillId="0" borderId="1" xfId="1" applyFont="1" applyFill="1" applyBorder="1" applyAlignment="1">
      <alignment horizontal="center"/>
    </xf>
    <xf numFmtId="0" fontId="30" fillId="0" borderId="0" xfId="0" applyFont="1"/>
    <xf numFmtId="44" fontId="30" fillId="0" borderId="0" xfId="0" applyNumberFormat="1" applyFont="1"/>
    <xf numFmtId="10" fontId="30" fillId="0" borderId="0" xfId="2" applyNumberFormat="1" applyFont="1"/>
    <xf numFmtId="44" fontId="31" fillId="0" borderId="0" xfId="0" applyNumberFormat="1" applyFont="1"/>
    <xf numFmtId="0" fontId="31" fillId="0" borderId="0" xfId="0" applyFont="1"/>
    <xf numFmtId="0" fontId="30" fillId="0" borderId="0" xfId="0" applyFont="1" applyAlignment="1">
      <alignment vertical="center" wrapText="1"/>
    </xf>
    <xf numFmtId="44" fontId="30" fillId="0" borderId="0" xfId="0" applyNumberFormat="1" applyFont="1" applyAlignment="1">
      <alignment vertical="center" wrapText="1"/>
    </xf>
    <xf numFmtId="165" fontId="30" fillId="0" borderId="0" xfId="0" applyNumberFormat="1" applyFont="1" applyAlignment="1">
      <alignment vertical="center" wrapText="1"/>
    </xf>
    <xf numFmtId="44" fontId="8" fillId="5" borderId="36" xfId="0" applyNumberFormat="1" applyFont="1" applyFill="1" applyBorder="1" applyAlignment="1">
      <alignment vertical="center"/>
    </xf>
    <xf numFmtId="9" fontId="30" fillId="0" borderId="0" xfId="2" applyFont="1" applyAlignment="1">
      <alignment horizontal="center" vertical="center"/>
    </xf>
    <xf numFmtId="0" fontId="30" fillId="0" borderId="0" xfId="0" applyFont="1" applyAlignment="1">
      <alignment horizontal="right" vertical="center"/>
    </xf>
    <xf numFmtId="0" fontId="30" fillId="0" borderId="0" xfId="0" applyFont="1" applyAlignment="1">
      <alignment vertical="center"/>
    </xf>
    <xf numFmtId="0" fontId="30" fillId="0" borderId="0" xfId="0" applyFont="1" applyAlignment="1">
      <alignment horizontal="left" vertical="center"/>
    </xf>
    <xf numFmtId="165" fontId="5" fillId="0" borderId="1" xfId="0" applyNumberFormat="1" applyFont="1" applyBorder="1" applyAlignment="1">
      <alignment horizontal="center" vertical="center"/>
    </xf>
    <xf numFmtId="10" fontId="5" fillId="8" borderId="1" xfId="2" applyNumberFormat="1"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49" fontId="5" fillId="8" borderId="1" xfId="0" applyNumberFormat="1" applyFont="1" applyFill="1" applyBorder="1" applyAlignment="1" applyProtection="1">
      <alignment vertical="center"/>
      <protection locked="0"/>
    </xf>
    <xf numFmtId="49" fontId="5" fillId="8" borderId="1" xfId="0" applyNumberFormat="1" applyFont="1" applyFill="1" applyBorder="1" applyAlignment="1" applyProtection="1">
      <alignment horizontal="center" vertical="center"/>
      <protection locked="0"/>
    </xf>
    <xf numFmtId="171" fontId="5" fillId="8" borderId="1" xfId="0" applyNumberFormat="1" applyFont="1" applyFill="1" applyBorder="1" applyAlignment="1" applyProtection="1">
      <alignment horizontal="center" vertical="center"/>
      <protection locked="0"/>
    </xf>
    <xf numFmtId="8" fontId="5" fillId="8" borderId="1" xfId="0" applyNumberFormat="1" applyFont="1" applyFill="1" applyBorder="1" applyAlignment="1" applyProtection="1">
      <alignment vertical="center"/>
      <protection locked="0"/>
    </xf>
    <xf numFmtId="8" fontId="5" fillId="8" borderId="9" xfId="0" applyNumberFormat="1" applyFont="1" applyFill="1" applyBorder="1" applyAlignment="1" applyProtection="1">
      <alignment vertical="center"/>
      <protection locked="0"/>
    </xf>
    <xf numFmtId="10" fontId="5" fillId="8" borderId="1" xfId="2" applyNumberFormat="1" applyFont="1" applyFill="1" applyBorder="1" applyAlignment="1" applyProtection="1">
      <alignment horizontal="right" vertical="center"/>
      <protection locked="0"/>
    </xf>
    <xf numFmtId="44" fontId="5" fillId="8" borderId="1" xfId="1" applyFont="1" applyFill="1" applyBorder="1" applyAlignment="1" applyProtection="1">
      <alignment vertical="center"/>
      <protection locked="0"/>
    </xf>
    <xf numFmtId="20" fontId="5" fillId="8" borderId="1" xfId="0" applyNumberFormat="1" applyFont="1" applyFill="1" applyBorder="1" applyAlignment="1" applyProtection="1">
      <alignment vertical="center"/>
      <protection locked="0"/>
    </xf>
    <xf numFmtId="10" fontId="5" fillId="8" borderId="1" xfId="0" applyNumberFormat="1" applyFont="1" applyFill="1" applyBorder="1" applyAlignment="1" applyProtection="1">
      <alignment vertical="center"/>
      <protection locked="0"/>
    </xf>
    <xf numFmtId="2" fontId="5" fillId="8" borderId="1" xfId="1" applyNumberFormat="1" applyFont="1" applyFill="1" applyBorder="1" applyAlignment="1" applyProtection="1">
      <alignment vertical="center"/>
      <protection locked="0"/>
    </xf>
    <xf numFmtId="10" fontId="5" fillId="8" borderId="1" xfId="2" applyNumberFormat="1" applyFont="1" applyFill="1" applyBorder="1" applyAlignment="1" applyProtection="1">
      <alignment vertical="center"/>
      <protection locked="0"/>
    </xf>
    <xf numFmtId="165" fontId="5" fillId="8" borderId="1" xfId="0" applyNumberFormat="1" applyFont="1" applyFill="1" applyBorder="1" applyAlignment="1" applyProtection="1">
      <alignment vertical="center"/>
      <protection locked="0"/>
    </xf>
    <xf numFmtId="4" fontId="3" fillId="8" borderId="1" xfId="0" applyNumberFormat="1" applyFont="1" applyFill="1" applyBorder="1" applyAlignment="1" applyProtection="1">
      <alignment vertical="top" wrapText="1"/>
      <protection locked="0"/>
    </xf>
    <xf numFmtId="2" fontId="5" fillId="8" borderId="9" xfId="0" applyNumberFormat="1" applyFont="1" applyFill="1" applyBorder="1" applyAlignment="1" applyProtection="1">
      <alignment horizontal="center" vertical="center"/>
      <protection locked="0"/>
    </xf>
    <xf numFmtId="2" fontId="5" fillId="8" borderId="1" xfId="0" applyNumberFormat="1" applyFont="1" applyFill="1" applyBorder="1" applyAlignment="1" applyProtection="1">
      <alignment vertical="center"/>
      <protection locked="0"/>
    </xf>
    <xf numFmtId="9" fontId="5" fillId="0" borderId="5" xfId="2" applyFont="1" applyBorder="1" applyAlignment="1">
      <alignment horizontal="center" vertical="center"/>
    </xf>
    <xf numFmtId="9" fontId="3" fillId="0" borderId="5" xfId="2" applyFont="1" applyBorder="1" applyAlignment="1">
      <alignment horizontal="center" vertical="center"/>
    </xf>
    <xf numFmtId="0" fontId="3" fillId="0" borderId="0" xfId="0" applyFont="1" applyAlignment="1">
      <alignment horizontal="left" vertical="center"/>
    </xf>
    <xf numFmtId="0" fontId="32" fillId="0" borderId="0" xfId="0" applyFont="1" applyAlignment="1">
      <alignment horizontal="center" vertical="center" wrapText="1"/>
    </xf>
    <xf numFmtId="165" fontId="5" fillId="0" borderId="0" xfId="6" applyNumberFormat="1" applyFont="1" applyBorder="1" applyAlignment="1">
      <alignment vertical="center"/>
    </xf>
    <xf numFmtId="165" fontId="32" fillId="0" borderId="1" xfId="6" applyNumberFormat="1" applyFont="1" applyBorder="1" applyAlignment="1">
      <alignment vertical="center"/>
    </xf>
    <xf numFmtId="0" fontId="32" fillId="0" borderId="0" xfId="0" applyFont="1" applyAlignment="1">
      <alignment vertical="center" wrapText="1"/>
    </xf>
    <xf numFmtId="165" fontId="7" fillId="0" borderId="0" xfId="6" applyNumberFormat="1" applyFont="1" applyFill="1" applyBorder="1" applyAlignment="1">
      <alignment horizontal="left" wrapText="1"/>
    </xf>
    <xf numFmtId="0" fontId="4" fillId="0" borderId="0" xfId="0" applyFont="1" applyAlignment="1">
      <alignment vertical="center"/>
    </xf>
    <xf numFmtId="165" fontId="7" fillId="0" borderId="36" xfId="0" applyNumberFormat="1" applyFont="1" applyBorder="1"/>
    <xf numFmtId="0" fontId="7" fillId="0" borderId="0" xfId="0" applyFont="1" applyAlignment="1">
      <alignment horizontal="left"/>
    </xf>
    <xf numFmtId="44" fontId="7" fillId="3" borderId="28" xfId="1" applyFont="1" applyFill="1" applyBorder="1" applyProtection="1">
      <protection locked="0"/>
    </xf>
    <xf numFmtId="44" fontId="7" fillId="8" borderId="28" xfId="1" applyFont="1" applyFill="1" applyBorder="1" applyProtection="1">
      <protection locked="0"/>
    </xf>
    <xf numFmtId="0" fontId="3" fillId="0" borderId="38" xfId="0" applyFont="1" applyBorder="1"/>
    <xf numFmtId="10" fontId="5" fillId="0" borderId="1" xfId="2" applyNumberFormat="1" applyFont="1" applyBorder="1" applyAlignment="1">
      <alignment vertical="center"/>
    </xf>
    <xf numFmtId="168" fontId="5" fillId="3" borderId="1" xfId="0" applyNumberFormat="1" applyFont="1" applyFill="1" applyBorder="1" applyAlignment="1" applyProtection="1">
      <alignment horizontal="center" vertical="center"/>
      <protection locked="0"/>
    </xf>
    <xf numFmtId="168" fontId="5" fillId="8" borderId="1" xfId="0" applyNumberFormat="1" applyFont="1" applyFill="1" applyBorder="1" applyAlignment="1" applyProtection="1">
      <alignment horizontal="center" vertical="center"/>
      <protection locked="0"/>
    </xf>
    <xf numFmtId="0" fontId="3" fillId="0" borderId="0" xfId="0" applyFont="1" applyAlignment="1">
      <alignment wrapText="1"/>
    </xf>
    <xf numFmtId="44" fontId="5" fillId="0" borderId="0" xfId="1" applyFont="1" applyBorder="1" applyAlignment="1">
      <alignment horizontal="right" vertical="center"/>
    </xf>
    <xf numFmtId="4" fontId="5" fillId="0" borderId="0" xfId="0" applyNumberFormat="1" applyFont="1" applyAlignment="1">
      <alignment horizontal="center" vertical="center"/>
    </xf>
    <xf numFmtId="0" fontId="4" fillId="0" borderId="0" xfId="0" applyFont="1" applyAlignment="1">
      <alignment horizontal="center" vertical="center" wrapText="1"/>
    </xf>
    <xf numFmtId="165" fontId="4" fillId="0" borderId="0" xfId="6" applyNumberFormat="1" applyFont="1" applyFill="1" applyBorder="1" applyAlignment="1">
      <alignment horizontal="center" vertical="center" wrapText="1"/>
    </xf>
    <xf numFmtId="0" fontId="33" fillId="0" borderId="0" xfId="0" applyFont="1" applyAlignment="1" applyProtection="1">
      <alignment horizontal="center" vertical="center"/>
      <protection locked="0"/>
    </xf>
    <xf numFmtId="165" fontId="32" fillId="0" borderId="0" xfId="0" applyNumberFormat="1" applyFont="1" applyAlignment="1">
      <alignment vertical="center"/>
    </xf>
    <xf numFmtId="165" fontId="3" fillId="0" borderId="0" xfId="0" applyNumberFormat="1" applyFont="1" applyAlignment="1">
      <alignment vertical="center"/>
    </xf>
    <xf numFmtId="0" fontId="32" fillId="0" borderId="0" xfId="0" applyFont="1" applyAlignment="1">
      <alignment horizontal="left" vertical="center" wrapText="1"/>
    </xf>
    <xf numFmtId="165" fontId="3" fillId="0" borderId="0" xfId="6" applyNumberFormat="1" applyFont="1" applyFill="1" applyBorder="1" applyAlignment="1" applyProtection="1">
      <alignment vertical="center"/>
      <protection locked="0"/>
    </xf>
    <xf numFmtId="165" fontId="4" fillId="0" borderId="0" xfId="6" applyNumberFormat="1" applyFont="1" applyFill="1" applyBorder="1" applyAlignment="1">
      <alignment vertical="center" wrapText="1"/>
    </xf>
    <xf numFmtId="44" fontId="5" fillId="0" borderId="0" xfId="1" applyFont="1" applyFill="1" applyAlignment="1" applyProtection="1">
      <alignment vertical="center"/>
    </xf>
    <xf numFmtId="165" fontId="5" fillId="3" borderId="1" xfId="6" applyNumberFormat="1" applyFont="1" applyFill="1" applyBorder="1" applyAlignment="1" applyProtection="1">
      <alignment vertical="center"/>
      <protection locked="0"/>
    </xf>
    <xf numFmtId="0" fontId="32" fillId="0" borderId="1" xfId="0" applyFont="1" applyBorder="1" applyAlignment="1">
      <alignment horizontal="right" vertical="center"/>
    </xf>
    <xf numFmtId="0" fontId="32" fillId="0" borderId="1" xfId="0" applyFont="1" applyBorder="1" applyAlignment="1">
      <alignment horizontal="right" vertical="center" wrapText="1"/>
    </xf>
    <xf numFmtId="0" fontId="22" fillId="9" borderId="0" xfId="0" applyFont="1" applyFill="1" applyAlignment="1">
      <alignment horizontal="left" vertical="center"/>
    </xf>
    <xf numFmtId="165" fontId="4" fillId="9" borderId="0" xfId="6" applyNumberFormat="1" applyFont="1" applyFill="1" applyBorder="1" applyAlignment="1">
      <alignment vertical="center"/>
    </xf>
    <xf numFmtId="165" fontId="5" fillId="0" borderId="0" xfId="0" applyNumberFormat="1" applyFont="1" applyAlignment="1">
      <alignment horizontal="right" vertical="center"/>
    </xf>
    <xf numFmtId="0" fontId="5" fillId="5" borderId="1" xfId="0" applyFont="1" applyFill="1" applyBorder="1" applyProtection="1">
      <protection locked="0"/>
    </xf>
    <xf numFmtId="0" fontId="3" fillId="0" borderId="1" xfId="0" applyFont="1" applyBorder="1"/>
    <xf numFmtId="0" fontId="5" fillId="8" borderId="1" xfId="0" applyFont="1" applyFill="1" applyBorder="1" applyProtection="1">
      <protection locked="0"/>
    </xf>
    <xf numFmtId="4" fontId="5" fillId="3" borderId="1" xfId="0" applyNumberFormat="1" applyFont="1" applyFill="1" applyBorder="1" applyAlignment="1" applyProtection="1">
      <alignment horizontal="right" vertical="center"/>
      <protection locked="0"/>
    </xf>
    <xf numFmtId="0" fontId="16" fillId="0" borderId="1" xfId="0" applyFont="1" applyBorder="1" applyAlignment="1">
      <alignment vertical="center"/>
    </xf>
    <xf numFmtId="2" fontId="5" fillId="0" borderId="0" xfId="0" applyNumberFormat="1" applyFont="1"/>
    <xf numFmtId="0" fontId="3" fillId="0" borderId="29" xfId="0" applyFont="1" applyBorder="1" applyAlignment="1">
      <alignment horizontal="center" vertical="center"/>
    </xf>
    <xf numFmtId="0" fontId="3" fillId="0" borderId="3" xfId="0" applyFont="1" applyBorder="1" applyAlignment="1">
      <alignment horizontal="center" vertical="center"/>
    </xf>
    <xf numFmtId="0" fontId="5" fillId="0" borderId="1" xfId="0" applyFont="1" applyBorder="1" applyAlignment="1">
      <alignment wrapText="1"/>
    </xf>
    <xf numFmtId="44" fontId="7" fillId="5" borderId="1" xfId="1" applyFont="1" applyFill="1" applyBorder="1"/>
    <xf numFmtId="9" fontId="5" fillId="0" borderId="1" xfId="2" applyFont="1" applyBorder="1" applyAlignment="1">
      <alignment horizontal="center" vertical="center"/>
    </xf>
    <xf numFmtId="0" fontId="3" fillId="3" borderId="1" xfId="0" applyFont="1" applyFill="1" applyBorder="1" applyAlignment="1" applyProtection="1">
      <alignment vertical="center"/>
      <protection locked="0"/>
    </xf>
    <xf numFmtId="0" fontId="3" fillId="0" borderId="36" xfId="0" applyFont="1" applyBorder="1" applyAlignment="1">
      <alignment vertical="center"/>
    </xf>
    <xf numFmtId="0" fontId="22" fillId="9" borderId="0" xfId="0" applyFont="1" applyFill="1" applyAlignment="1">
      <alignment vertical="center" wrapText="1"/>
    </xf>
    <xf numFmtId="165" fontId="22" fillId="9" borderId="0" xfId="6" applyNumberFormat="1" applyFont="1" applyFill="1" applyBorder="1" applyAlignment="1">
      <alignment vertical="center"/>
    </xf>
    <xf numFmtId="165" fontId="5" fillId="0" borderId="1" xfId="0" applyNumberFormat="1" applyFont="1" applyBorder="1"/>
    <xf numFmtId="165" fontId="5" fillId="0" borderId="1" xfId="6" applyNumberFormat="1" applyFont="1" applyFill="1" applyBorder="1" applyAlignment="1" applyProtection="1">
      <alignment vertical="center"/>
    </xf>
    <xf numFmtId="44" fontId="5" fillId="3" borderId="1" xfId="1" applyFont="1" applyFill="1" applyBorder="1" applyProtection="1">
      <protection locked="0"/>
    </xf>
    <xf numFmtId="44" fontId="5" fillId="5" borderId="1" xfId="0" applyNumberFormat="1" applyFont="1" applyFill="1" applyBorder="1"/>
    <xf numFmtId="44" fontId="5" fillId="5" borderId="1" xfId="1" applyFont="1" applyFill="1" applyBorder="1"/>
    <xf numFmtId="2" fontId="5" fillId="5" borderId="1" xfId="0" applyNumberFormat="1" applyFont="1" applyFill="1" applyBorder="1" applyAlignment="1">
      <alignment horizontal="center"/>
    </xf>
    <xf numFmtId="2" fontId="5" fillId="0" borderId="1" xfId="0" applyNumberFormat="1" applyFont="1" applyBorder="1" applyAlignment="1">
      <alignment horizontal="center" vertical="center"/>
    </xf>
    <xf numFmtId="2" fontId="5" fillId="0" borderId="9" xfId="0" applyNumberFormat="1" applyFont="1" applyBorder="1" applyAlignment="1">
      <alignment horizontal="center" vertical="center"/>
    </xf>
    <xf numFmtId="0" fontId="15" fillId="0" borderId="0" xfId="0" applyFont="1" applyAlignment="1">
      <alignment vertical="center"/>
    </xf>
    <xf numFmtId="165" fontId="5" fillId="3" borderId="1" xfId="0" applyNumberFormat="1" applyFont="1" applyFill="1" applyBorder="1" applyAlignment="1" applyProtection="1">
      <alignment horizontal="right" vertical="center"/>
      <protection locked="0"/>
    </xf>
    <xf numFmtId="165" fontId="5" fillId="3" borderId="1" xfId="0" applyNumberFormat="1" applyFont="1" applyFill="1" applyBorder="1" applyProtection="1">
      <protection locked="0"/>
    </xf>
    <xf numFmtId="0" fontId="5" fillId="3" borderId="32" xfId="0" applyFont="1" applyFill="1" applyBorder="1" applyAlignment="1" applyProtection="1">
      <alignment vertical="center"/>
      <protection locked="0"/>
    </xf>
    <xf numFmtId="14" fontId="5" fillId="3" borderId="43" xfId="0" applyNumberFormat="1" applyFont="1" applyFill="1" applyBorder="1" applyAlignment="1" applyProtection="1">
      <alignment horizontal="center"/>
      <protection locked="0"/>
    </xf>
    <xf numFmtId="0" fontId="5" fillId="0" borderId="43" xfId="0" applyFont="1" applyBorder="1" applyAlignment="1">
      <alignment horizontal="center" vertical="center"/>
    </xf>
    <xf numFmtId="14" fontId="5" fillId="3" borderId="33" xfId="0" applyNumberFormat="1" applyFont="1" applyFill="1" applyBorder="1" applyAlignment="1" applyProtection="1">
      <alignment horizontal="center"/>
      <protection locked="0"/>
    </xf>
    <xf numFmtId="44" fontId="7" fillId="5" borderId="1" xfId="0" applyNumberFormat="1" applyFont="1" applyFill="1" applyBorder="1" applyAlignment="1">
      <alignment vertical="center"/>
    </xf>
    <xf numFmtId="0" fontId="5" fillId="0" borderId="44" xfId="0" applyFont="1" applyBorder="1"/>
    <xf numFmtId="0" fontId="5" fillId="0" borderId="45" xfId="0" applyFont="1" applyBorder="1"/>
    <xf numFmtId="0" fontId="5" fillId="0" borderId="26" xfId="0" applyFont="1" applyBorder="1"/>
    <xf numFmtId="0" fontId="5" fillId="3" borderId="46" xfId="0" applyFont="1" applyFill="1" applyBorder="1" applyAlignment="1" applyProtection="1">
      <alignment vertical="center"/>
      <protection locked="0"/>
    </xf>
    <xf numFmtId="0" fontId="5" fillId="3" borderId="47" xfId="0" applyFont="1" applyFill="1" applyBorder="1" applyAlignment="1" applyProtection="1">
      <alignment horizontal="left" vertical="center"/>
      <protection locked="0"/>
    </xf>
    <xf numFmtId="0" fontId="5" fillId="0" borderId="0" xfId="0" applyFont="1" applyAlignment="1">
      <alignment horizontal="left"/>
    </xf>
    <xf numFmtId="0" fontId="36" fillId="0" borderId="0" xfId="0" applyFont="1"/>
    <xf numFmtId="44" fontId="5" fillId="0" borderId="0" xfId="1" applyFont="1" applyFill="1" applyBorder="1"/>
    <xf numFmtId="0" fontId="15" fillId="4" borderId="1" xfId="0" applyFont="1" applyFill="1" applyBorder="1" applyAlignment="1">
      <alignment vertical="center"/>
    </xf>
    <xf numFmtId="165" fontId="15" fillId="3" borderId="1" xfId="6" applyNumberFormat="1" applyFont="1" applyFill="1" applyBorder="1" applyAlignment="1" applyProtection="1">
      <alignment vertical="center"/>
      <protection locked="0"/>
    </xf>
    <xf numFmtId="168" fontId="5" fillId="0" borderId="1" xfId="0" applyNumberFormat="1" applyFont="1" applyBorder="1"/>
    <xf numFmtId="0" fontId="5" fillId="3" borderId="1" xfId="6" applyFont="1" applyFill="1" applyBorder="1" applyAlignment="1" applyProtection="1">
      <alignment vertical="center"/>
      <protection locked="0"/>
    </xf>
    <xf numFmtId="9" fontId="5" fillId="3" borderId="1" xfId="2" applyFont="1" applyFill="1" applyBorder="1" applyProtection="1">
      <protection locked="0"/>
    </xf>
    <xf numFmtId="174" fontId="5" fillId="3" borderId="1" xfId="0" applyNumberFormat="1" applyFont="1" applyFill="1" applyBorder="1" applyAlignment="1" applyProtection="1">
      <alignment vertical="center"/>
      <protection locked="0"/>
    </xf>
    <xf numFmtId="174" fontId="5" fillId="8" borderId="1" xfId="0" applyNumberFormat="1" applyFont="1" applyFill="1" applyBorder="1" applyAlignment="1" applyProtection="1">
      <alignment vertical="center"/>
      <protection locked="0"/>
    </xf>
    <xf numFmtId="175" fontId="5" fillId="3" borderId="1" xfId="0" applyNumberFormat="1" applyFont="1" applyFill="1" applyBorder="1" applyAlignment="1" applyProtection="1">
      <alignment vertical="center"/>
      <protection locked="0"/>
    </xf>
    <xf numFmtId="175" fontId="5" fillId="8" borderId="1" xfId="0" applyNumberFormat="1" applyFont="1" applyFill="1" applyBorder="1" applyAlignment="1" applyProtection="1">
      <alignment vertical="center"/>
      <protection locked="0"/>
    </xf>
    <xf numFmtId="174" fontId="5" fillId="0" borderId="1" xfId="0" applyNumberFormat="1" applyFont="1" applyBorder="1" applyAlignment="1">
      <alignment vertical="center"/>
    </xf>
    <xf numFmtId="0" fontId="3" fillId="3" borderId="1" xfId="0" applyFont="1" applyFill="1" applyBorder="1" applyProtection="1">
      <protection locked="0"/>
    </xf>
    <xf numFmtId="0" fontId="3" fillId="5" borderId="1" xfId="0" applyFont="1" applyFill="1" applyBorder="1" applyProtection="1">
      <protection locked="0"/>
    </xf>
    <xf numFmtId="0" fontId="3" fillId="8" borderId="1" xfId="0" applyFont="1" applyFill="1" applyBorder="1" applyProtection="1">
      <protection locked="0"/>
    </xf>
    <xf numFmtId="10" fontId="5" fillId="0" borderId="1" xfId="0" applyNumberFormat="1" applyFont="1" applyBorder="1" applyAlignment="1">
      <alignment vertical="center"/>
    </xf>
    <xf numFmtId="10" fontId="5" fillId="3" borderId="7" xfId="2" applyNumberFormat="1" applyFont="1" applyFill="1" applyBorder="1" applyAlignment="1" applyProtection="1">
      <alignment vertical="center"/>
      <protection locked="0"/>
    </xf>
    <xf numFmtId="10" fontId="5" fillId="8" borderId="7" xfId="2" applyNumberFormat="1" applyFont="1" applyFill="1" applyBorder="1" applyAlignment="1" applyProtection="1">
      <alignment vertical="center"/>
      <protection locked="0"/>
    </xf>
    <xf numFmtId="44" fontId="4" fillId="0" borderId="35" xfId="0" applyNumberFormat="1" applyFont="1" applyBorder="1" applyAlignment="1">
      <alignment vertical="center" wrapText="1"/>
    </xf>
    <xf numFmtId="176" fontId="4" fillId="0" borderId="13" xfId="0" applyNumberFormat="1" applyFont="1" applyBorder="1" applyAlignment="1">
      <alignment vertical="center" wrapText="1"/>
    </xf>
    <xf numFmtId="176" fontId="4" fillId="0" borderId="33" xfId="0" applyNumberFormat="1" applyFont="1" applyBorder="1" applyAlignment="1">
      <alignment vertical="center" wrapText="1"/>
    </xf>
    <xf numFmtId="0" fontId="5" fillId="0" borderId="0" xfId="0" applyFont="1" applyProtection="1">
      <protection locked="0"/>
    </xf>
    <xf numFmtId="0" fontId="5" fillId="4" borderId="1" xfId="0" applyFont="1" applyFill="1" applyBorder="1" applyAlignment="1">
      <alignment vertical="center"/>
    </xf>
    <xf numFmtId="9" fontId="5" fillId="3" borderId="1" xfId="0" applyNumberFormat="1" applyFont="1" applyFill="1" applyBorder="1" applyProtection="1">
      <protection locked="0"/>
    </xf>
    <xf numFmtId="9" fontId="5" fillId="3" borderId="1" xfId="2" applyFont="1" applyFill="1" applyBorder="1" applyAlignment="1" applyProtection="1">
      <alignment vertical="center"/>
      <protection locked="0"/>
    </xf>
    <xf numFmtId="177" fontId="5" fillId="3" borderId="1" xfId="0" applyNumberFormat="1" applyFont="1" applyFill="1" applyBorder="1" applyProtection="1">
      <protection locked="0"/>
    </xf>
    <xf numFmtId="0" fontId="3" fillId="0" borderId="1" xfId="0" applyFont="1" applyBorder="1" applyAlignment="1">
      <alignment horizontal="center" vertical="top" wrapText="1"/>
    </xf>
    <xf numFmtId="0" fontId="3" fillId="5" borderId="1" xfId="0" applyFont="1" applyFill="1" applyBorder="1" applyAlignment="1">
      <alignment horizontal="center" vertical="top" wrapText="1"/>
    </xf>
    <xf numFmtId="0" fontId="3" fillId="0" borderId="23" xfId="0" applyFont="1" applyBorder="1" applyAlignment="1">
      <alignment horizontal="center" vertical="top" wrapText="1"/>
    </xf>
    <xf numFmtId="0" fontId="7" fillId="0" borderId="10" xfId="0" applyFont="1" applyBorder="1" applyAlignment="1">
      <alignment horizontal="center" vertical="center"/>
    </xf>
    <xf numFmtId="44" fontId="5" fillId="8" borderId="1" xfId="1" applyFont="1" applyFill="1" applyBorder="1" applyProtection="1">
      <protection locked="0"/>
    </xf>
    <xf numFmtId="0" fontId="4" fillId="0" borderId="1" xfId="0" applyFont="1" applyBorder="1" applyAlignment="1">
      <alignment vertical="top" wrapText="1"/>
    </xf>
    <xf numFmtId="0" fontId="3" fillId="0" borderId="1" xfId="0" applyFont="1" applyBorder="1" applyAlignment="1">
      <alignment vertical="top" wrapText="1"/>
    </xf>
    <xf numFmtId="3" fontId="3" fillId="0" borderId="1" xfId="3" applyNumberFormat="1" applyFont="1" applyFill="1" applyBorder="1" applyAlignment="1" applyProtection="1">
      <alignment horizontal="right" vertical="top" wrapText="1"/>
    </xf>
    <xf numFmtId="0" fontId="4" fillId="5" borderId="1" xfId="0" applyFont="1" applyFill="1" applyBorder="1" applyAlignment="1">
      <alignment horizontal="center" vertical="top" wrapText="1"/>
    </xf>
    <xf numFmtId="165" fontId="3" fillId="0" borderId="1" xfId="0" applyNumberFormat="1" applyFont="1" applyBorder="1" applyAlignment="1">
      <alignment vertical="top" wrapText="1"/>
    </xf>
    <xf numFmtId="44" fontId="4" fillId="5" borderId="1" xfId="1" applyFont="1" applyFill="1" applyBorder="1" applyAlignment="1" applyProtection="1">
      <alignment vertical="top" wrapText="1"/>
    </xf>
    <xf numFmtId="0" fontId="3" fillId="0" borderId="1" xfId="0" applyFont="1" applyBorder="1" applyAlignment="1">
      <alignment horizontal="center" vertical="center" wrapText="1"/>
    </xf>
    <xf numFmtId="3" fontId="3" fillId="0" borderId="6" xfId="0" applyNumberFormat="1" applyFont="1" applyBorder="1" applyAlignment="1">
      <alignment vertical="top" wrapText="1"/>
    </xf>
    <xf numFmtId="3" fontId="3" fillId="0" borderId="17" xfId="0" applyNumberFormat="1" applyFont="1" applyBorder="1" applyAlignment="1">
      <alignment vertical="top" wrapText="1"/>
    </xf>
    <xf numFmtId="3" fontId="3" fillId="0" borderId="20" xfId="0" applyNumberFormat="1" applyFont="1" applyBorder="1" applyAlignment="1">
      <alignment vertical="top" wrapText="1"/>
    </xf>
    <xf numFmtId="3" fontId="3" fillId="0" borderId="40" xfId="0" applyNumberFormat="1" applyFont="1" applyBorder="1" applyAlignment="1">
      <alignment vertical="top" wrapText="1"/>
    </xf>
    <xf numFmtId="0" fontId="3" fillId="0" borderId="7" xfId="0" applyFont="1" applyBorder="1" applyAlignment="1">
      <alignment horizontal="center" vertical="top" wrapText="1"/>
    </xf>
    <xf numFmtId="3" fontId="3" fillId="0" borderId="7" xfId="0" applyNumberFormat="1" applyFont="1" applyBorder="1" applyAlignment="1">
      <alignment vertical="top" wrapText="1"/>
    </xf>
    <xf numFmtId="0" fontId="5" fillId="0" borderId="7" xfId="0" applyFont="1" applyBorder="1"/>
    <xf numFmtId="165" fontId="3" fillId="0" borderId="7" xfId="0" applyNumberFormat="1" applyFont="1" applyBorder="1" applyAlignment="1">
      <alignment vertical="top" wrapText="1"/>
    </xf>
    <xf numFmtId="44" fontId="3" fillId="8" borderId="1" xfId="1" applyFont="1" applyFill="1" applyBorder="1" applyAlignment="1" applyProtection="1">
      <alignment horizontal="right" vertical="center"/>
      <protection locked="0"/>
    </xf>
    <xf numFmtId="4" fontId="3" fillId="8" borderId="1" xfId="0" applyNumberFormat="1" applyFont="1" applyFill="1" applyBorder="1" applyAlignment="1" applyProtection="1">
      <alignment horizontal="right" vertical="center"/>
      <protection locked="0"/>
    </xf>
    <xf numFmtId="9" fontId="36" fillId="0" borderId="0" xfId="0" applyNumberFormat="1" applyFont="1"/>
    <xf numFmtId="9" fontId="5" fillId="3" borderId="1" xfId="0" applyNumberFormat="1" applyFont="1" applyFill="1" applyBorder="1" applyAlignment="1" applyProtection="1">
      <alignment horizontal="center" vertical="center"/>
      <protection locked="0"/>
    </xf>
    <xf numFmtId="3" fontId="5" fillId="0" borderId="1" xfId="0" applyNumberFormat="1" applyFont="1" applyBorder="1"/>
    <xf numFmtId="4" fontId="5" fillId="0" borderId="1" xfId="0" applyNumberFormat="1" applyFont="1" applyBorder="1"/>
    <xf numFmtId="10" fontId="5" fillId="0" borderId="1" xfId="2" applyNumberFormat="1" applyFont="1" applyBorder="1"/>
    <xf numFmtId="3" fontId="5" fillId="0" borderId="10" xfId="0" applyNumberFormat="1" applyFont="1" applyBorder="1"/>
    <xf numFmtId="10" fontId="5" fillId="0" borderId="9" xfId="2" applyNumberFormat="1" applyFont="1" applyBorder="1"/>
    <xf numFmtId="2" fontId="5" fillId="6" borderId="1" xfId="1" applyNumberFormat="1" applyFont="1" applyFill="1" applyBorder="1" applyAlignment="1" applyProtection="1">
      <alignment vertical="center"/>
    </xf>
    <xf numFmtId="2" fontId="3" fillId="3" borderId="49" xfId="3" applyNumberFormat="1" applyFont="1" applyFill="1" applyBorder="1" applyAlignment="1" applyProtection="1">
      <alignment vertical="top" wrapText="1"/>
      <protection locked="0"/>
    </xf>
    <xf numFmtId="3" fontId="3" fillId="0" borderId="10" xfId="0" applyNumberFormat="1" applyFont="1" applyBorder="1" applyAlignment="1">
      <alignment vertical="top" wrapText="1"/>
    </xf>
    <xf numFmtId="3" fontId="3" fillId="3" borderId="10" xfId="3" applyNumberFormat="1" applyFont="1" applyFill="1" applyBorder="1" applyAlignment="1" applyProtection="1">
      <alignment vertical="top" wrapText="1"/>
      <protection locked="0"/>
    </xf>
    <xf numFmtId="3" fontId="3" fillId="0" borderId="50" xfId="0" applyNumberFormat="1" applyFont="1" applyBorder="1" applyAlignment="1">
      <alignment vertical="top" wrapText="1"/>
    </xf>
    <xf numFmtId="2" fontId="3" fillId="3" borderId="41" xfId="3" applyNumberFormat="1" applyFont="1" applyFill="1" applyBorder="1" applyAlignment="1" applyProtection="1">
      <alignment vertical="top" wrapText="1"/>
      <protection locked="0"/>
    </xf>
    <xf numFmtId="3" fontId="3" fillId="0" borderId="14" xfId="0" applyNumberFormat="1" applyFont="1" applyBorder="1" applyAlignment="1">
      <alignment vertical="top" wrapText="1"/>
    </xf>
    <xf numFmtId="3" fontId="3" fillId="3" borderId="14" xfId="3" applyNumberFormat="1" applyFont="1" applyFill="1" applyBorder="1" applyAlignment="1" applyProtection="1">
      <alignment vertical="top" wrapText="1"/>
      <protection locked="0"/>
    </xf>
    <xf numFmtId="3" fontId="3" fillId="0" borderId="42" xfId="0" applyNumberFormat="1" applyFont="1" applyBorder="1" applyAlignment="1">
      <alignment vertical="top" wrapText="1"/>
    </xf>
    <xf numFmtId="0" fontId="16" fillId="0" borderId="6" xfId="0" applyFont="1" applyBorder="1"/>
    <xf numFmtId="0" fontId="37" fillId="0" borderId="7" xfId="0" applyFont="1" applyBorder="1" applyAlignment="1">
      <alignment horizontal="center"/>
    </xf>
    <xf numFmtId="168" fontId="37" fillId="0" borderId="7" xfId="0" applyNumberFormat="1" applyFont="1" applyBorder="1" applyAlignment="1">
      <alignment horizontal="center"/>
    </xf>
    <xf numFmtId="176" fontId="5" fillId="0" borderId="1" xfId="1" applyNumberFormat="1" applyFont="1" applyBorder="1"/>
    <xf numFmtId="176" fontId="5" fillId="0" borderId="0" xfId="1" applyNumberFormat="1" applyFont="1"/>
    <xf numFmtId="44" fontId="7" fillId="5" borderId="37" xfId="0" applyNumberFormat="1" applyFont="1" applyFill="1" applyBorder="1" applyAlignment="1">
      <alignment horizontal="center" vertical="center"/>
    </xf>
    <xf numFmtId="0" fontId="5" fillId="5" borderId="0" xfId="0" applyFont="1" applyFill="1" applyAlignment="1">
      <alignment horizontal="center"/>
    </xf>
    <xf numFmtId="44" fontId="5" fillId="5" borderId="0" xfId="0" applyNumberFormat="1" applyFont="1" applyFill="1" applyAlignment="1">
      <alignment horizontal="center" vertical="center"/>
    </xf>
    <xf numFmtId="0" fontId="5" fillId="5" borderId="5" xfId="0" applyFont="1" applyFill="1" applyBorder="1" applyAlignment="1">
      <alignment horizontal="center"/>
    </xf>
    <xf numFmtId="44" fontId="5" fillId="5" borderId="36" xfId="0" applyNumberFormat="1" applyFont="1" applyFill="1" applyBorder="1" applyAlignment="1">
      <alignment horizontal="center" vertical="center"/>
    </xf>
    <xf numFmtId="0" fontId="5" fillId="0" borderId="1" xfId="0" applyFont="1" applyBorder="1" applyAlignment="1">
      <alignment horizontal="center" vertical="center"/>
    </xf>
    <xf numFmtId="44" fontId="8" fillId="5" borderId="37" xfId="0" applyNumberFormat="1" applyFont="1" applyFill="1" applyBorder="1" applyAlignment="1">
      <alignment horizontal="center" vertical="center"/>
    </xf>
    <xf numFmtId="44" fontId="7" fillId="5" borderId="37" xfId="1" applyFont="1" applyFill="1" applyBorder="1" applyAlignment="1" applyProtection="1">
      <alignment horizontal="center" vertical="center"/>
    </xf>
    <xf numFmtId="0" fontId="5" fillId="5" borderId="37" xfId="0" applyFont="1" applyFill="1" applyBorder="1" applyAlignment="1">
      <alignment horizontal="center"/>
    </xf>
    <xf numFmtId="44" fontId="5" fillId="5" borderId="37" xfId="0" applyNumberFormat="1" applyFont="1" applyFill="1" applyBorder="1" applyAlignment="1">
      <alignment horizontal="center" vertical="center"/>
    </xf>
    <xf numFmtId="0" fontId="5" fillId="3" borderId="0" xfId="0" applyFont="1" applyFill="1" applyAlignment="1" applyProtection="1">
      <alignment horizontal="left" vertical="center"/>
      <protection locked="0"/>
    </xf>
    <xf numFmtId="0" fontId="5" fillId="3" borderId="32" xfId="0" applyFont="1" applyFill="1" applyBorder="1" applyAlignment="1" applyProtection="1">
      <alignment horizontal="left" vertical="center"/>
      <protection locked="0"/>
    </xf>
    <xf numFmtId="0" fontId="16" fillId="0" borderId="43" xfId="0" applyFont="1" applyBorder="1" applyAlignment="1">
      <alignment horizontal="center" vertical="center"/>
    </xf>
    <xf numFmtId="44" fontId="5" fillId="5" borderId="25" xfId="0" applyNumberFormat="1" applyFont="1" applyFill="1" applyBorder="1" applyAlignment="1">
      <alignment horizontal="center" vertical="center"/>
    </xf>
    <xf numFmtId="0" fontId="5" fillId="5" borderId="25" xfId="0" applyFont="1" applyFill="1" applyBorder="1" applyAlignment="1">
      <alignment horizontal="center" vertical="center" wrapText="1"/>
    </xf>
    <xf numFmtId="0" fontId="7" fillId="0" borderId="5" xfId="0" applyFont="1" applyBorder="1" applyAlignment="1">
      <alignment horizontal="center" vertical="center"/>
    </xf>
    <xf numFmtId="0" fontId="5" fillId="0" borderId="5" xfId="0" applyFont="1" applyBorder="1" applyAlignment="1">
      <alignment horizontal="left" vertical="center"/>
    </xf>
    <xf numFmtId="0" fontId="3" fillId="0" borderId="0" xfId="0" applyFont="1" applyAlignment="1">
      <alignment horizontal="left" vertical="center" wrapText="1"/>
    </xf>
    <xf numFmtId="0" fontId="5" fillId="5"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7" fillId="0" borderId="11" xfId="0" applyFont="1" applyBorder="1" applyAlignment="1">
      <alignment horizontal="left" vertical="center" wrapText="1"/>
    </xf>
    <xf numFmtId="0" fontId="7" fillId="0" borderId="48" xfId="0" applyFont="1" applyBorder="1" applyAlignment="1">
      <alignment horizontal="left" vertical="center" wrapText="1"/>
    </xf>
    <xf numFmtId="0" fontId="5" fillId="0" borderId="0" xfId="0" applyFont="1" applyAlignment="1">
      <alignment horizontal="center" vertical="center"/>
    </xf>
    <xf numFmtId="0" fontId="16" fillId="0" borderId="0" xfId="0" applyFont="1" applyAlignment="1">
      <alignment horizontal="center"/>
    </xf>
    <xf numFmtId="0" fontId="5" fillId="5" borderId="0" xfId="0" applyFont="1" applyFill="1" applyAlignment="1">
      <alignment horizontal="center" vertical="center"/>
    </xf>
    <xf numFmtId="0" fontId="7" fillId="0" borderId="12" xfId="0" applyFont="1" applyBorder="1" applyAlignment="1">
      <alignment horizontal="left" vertical="center" wrapText="1"/>
    </xf>
    <xf numFmtId="0" fontId="5" fillId="5" borderId="0" xfId="0" applyFont="1" applyFill="1" applyAlignment="1">
      <alignment horizontal="center" vertical="center" wrapText="1"/>
    </xf>
    <xf numFmtId="0" fontId="7" fillId="0" borderId="0" xfId="0" applyFont="1" applyAlignment="1">
      <alignment horizontal="center" vertical="center"/>
    </xf>
    <xf numFmtId="0" fontId="5" fillId="3" borderId="21"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0" fontId="5" fillId="0" borderId="1"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xf>
    <xf numFmtId="0" fontId="7" fillId="0" borderId="0" xfId="0" applyFont="1" applyAlignment="1">
      <alignment horizontal="left"/>
    </xf>
    <xf numFmtId="0" fontId="5" fillId="0" borderId="1" xfId="0" applyFont="1" applyBorder="1" applyAlignment="1">
      <alignment horizontal="left" vertical="center" wrapText="1"/>
    </xf>
    <xf numFmtId="2" fontId="5" fillId="0" borderId="10" xfId="0" applyNumberFormat="1" applyFont="1" applyBorder="1" applyAlignment="1">
      <alignment horizontal="center" vertical="center" wrapText="1"/>
    </xf>
    <xf numFmtId="2" fontId="5" fillId="0" borderId="9"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16" fillId="0" borderId="10" xfId="0" applyNumberFormat="1" applyFont="1" applyBorder="1" applyAlignment="1">
      <alignment horizontal="center" vertical="center" wrapText="1"/>
    </xf>
    <xf numFmtId="0" fontId="16" fillId="0" borderId="9" xfId="0" applyFont="1" applyBorder="1" applyAlignment="1">
      <alignment horizontal="center" vertical="center" wrapText="1"/>
    </xf>
    <xf numFmtId="165" fontId="16" fillId="0" borderId="9" xfId="0" applyNumberFormat="1" applyFont="1" applyBorder="1" applyAlignment="1">
      <alignment horizontal="center" vertical="center" wrapText="1"/>
    </xf>
    <xf numFmtId="0" fontId="1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7" fillId="0" borderId="0" xfId="0" applyFont="1" applyAlignment="1">
      <alignment horizont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2" fontId="5" fillId="4" borderId="6" xfId="0" applyNumberFormat="1" applyFont="1" applyFill="1" applyBorder="1" applyAlignment="1">
      <alignment horizontal="center" vertical="center"/>
    </xf>
    <xf numFmtId="2" fontId="5" fillId="4" borderId="8" xfId="0" applyNumberFormat="1" applyFont="1" applyFill="1" applyBorder="1" applyAlignment="1">
      <alignment horizontal="center" vertical="center"/>
    </xf>
    <xf numFmtId="2" fontId="5" fillId="4" borderId="7" xfId="0" applyNumberFormat="1" applyFont="1" applyFill="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8" fontId="5" fillId="0" borderId="10" xfId="0" applyNumberFormat="1" applyFont="1" applyBorder="1" applyAlignment="1">
      <alignment horizontal="center" vertical="center" wrapText="1"/>
    </xf>
    <xf numFmtId="8" fontId="5" fillId="0" borderId="9"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8" fontId="5" fillId="0" borderId="38" xfId="0" applyNumberFormat="1" applyFont="1" applyBorder="1" applyAlignment="1">
      <alignment horizontal="center" vertical="center" wrapText="1"/>
    </xf>
    <xf numFmtId="8" fontId="5" fillId="0" borderId="4" xfId="0"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171" fontId="5" fillId="0" borderId="10" xfId="1" applyNumberFormat="1" applyFont="1" applyBorder="1" applyAlignment="1">
      <alignment horizontal="center" vertical="center" wrapText="1"/>
    </xf>
    <xf numFmtId="171" fontId="5" fillId="0" borderId="9" xfId="1" applyNumberFormat="1" applyFont="1" applyBorder="1" applyAlignment="1">
      <alignment horizontal="center" vertical="center" wrapText="1"/>
    </xf>
    <xf numFmtId="0" fontId="5" fillId="0" borderId="1" xfId="0" applyFont="1" applyBorder="1" applyAlignment="1">
      <alignment horizontal="center"/>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0" fontId="5" fillId="0" borderId="0" xfId="0" applyFont="1" applyAlignment="1">
      <alignment horizontal="left" vertical="top" wrapText="1"/>
    </xf>
    <xf numFmtId="0" fontId="29" fillId="0" borderId="1" xfId="0" applyFont="1" applyBorder="1" applyAlignment="1">
      <alignment horizontal="center" vertical="center" wrapText="1"/>
    </xf>
    <xf numFmtId="0" fontId="5" fillId="0" borderId="0" xfId="0" applyFont="1" applyAlignment="1">
      <alignment horizontal="left" vertical="center"/>
    </xf>
    <xf numFmtId="0" fontId="5" fillId="0" borderId="3" xfId="0" applyFont="1" applyBorder="1" applyAlignment="1">
      <alignment horizontal="left" vertical="center"/>
    </xf>
    <xf numFmtId="0" fontId="3" fillId="0" borderId="1" xfId="0" applyFont="1" applyBorder="1" applyAlignment="1">
      <alignment horizontal="left" vertical="top" shrinkToFit="1"/>
    </xf>
    <xf numFmtId="0" fontId="5" fillId="0" borderId="1" xfId="0" applyFont="1" applyBorder="1" applyAlignment="1">
      <alignment vertical="top" shrinkToFit="1"/>
    </xf>
    <xf numFmtId="0" fontId="4" fillId="0" borderId="1" xfId="0" applyFont="1" applyBorder="1" applyAlignment="1">
      <alignment horizontal="center" vertical="top" wrapText="1"/>
    </xf>
    <xf numFmtId="0" fontId="3" fillId="0" borderId="1" xfId="0" applyFont="1" applyBorder="1" applyAlignment="1">
      <alignment horizontal="left" vertical="top" wrapText="1"/>
    </xf>
    <xf numFmtId="0" fontId="5" fillId="0" borderId="1" xfId="0" applyFont="1" applyBorder="1" applyAlignment="1">
      <alignment vertical="top" wrapText="1"/>
    </xf>
    <xf numFmtId="0" fontId="3" fillId="0" borderId="0" xfId="0" applyFont="1" applyAlignment="1">
      <alignment horizontal="left" vertical="top" shrinkToFit="1"/>
    </xf>
    <xf numFmtId="0" fontId="5" fillId="0" borderId="0" xfId="0" applyFont="1" applyAlignment="1">
      <alignment shrinkToFit="1"/>
    </xf>
    <xf numFmtId="0" fontId="4" fillId="0" borderId="0" xfId="0" applyFont="1" applyAlignment="1">
      <alignment vertical="top" wrapText="1"/>
    </xf>
    <xf numFmtId="0" fontId="7" fillId="0" borderId="7" xfId="0" applyFont="1" applyBorder="1" applyAlignment="1">
      <alignment horizontal="center" vertical="top"/>
    </xf>
    <xf numFmtId="0" fontId="7" fillId="0" borderId="1" xfId="0" applyFont="1" applyBorder="1" applyAlignment="1">
      <alignment horizontal="center" vertical="top"/>
    </xf>
    <xf numFmtId="0" fontId="4" fillId="0" borderId="10" xfId="0" applyFont="1" applyBorder="1" applyAlignment="1">
      <alignment horizontal="center" vertical="top" wrapText="1"/>
    </xf>
    <xf numFmtId="0" fontId="5" fillId="0" borderId="1" xfId="0" applyFont="1" applyBorder="1" applyAlignment="1">
      <alignment shrinkToFit="1"/>
    </xf>
    <xf numFmtId="0" fontId="3" fillId="0" borderId="1" xfId="0" applyFont="1" applyBorder="1" applyAlignment="1">
      <alignment horizontal="center" vertical="top" wrapText="1"/>
    </xf>
    <xf numFmtId="0" fontId="3" fillId="0" borderId="1" xfId="0" applyFont="1" applyBorder="1" applyAlignment="1">
      <alignment horizontal="center" wrapText="1"/>
    </xf>
    <xf numFmtId="0" fontId="5" fillId="0" borderId="1" xfId="0" applyFont="1" applyBorder="1" applyAlignment="1">
      <alignment wrapText="1"/>
    </xf>
    <xf numFmtId="0" fontId="3" fillId="0" borderId="6" xfId="0" applyFont="1" applyBorder="1" applyAlignment="1">
      <alignment horizontal="center" vertical="center" textRotation="90" wrapText="1"/>
    </xf>
    <xf numFmtId="0" fontId="3" fillId="0" borderId="6" xfId="0" applyFont="1" applyBorder="1" applyAlignment="1">
      <alignment horizontal="center" wrapText="1"/>
    </xf>
    <xf numFmtId="0" fontId="4" fillId="0" borderId="41" xfId="0" applyFont="1" applyBorder="1" applyAlignment="1">
      <alignment horizontal="center" vertical="top" wrapText="1"/>
    </xf>
    <xf numFmtId="0" fontId="4" fillId="0" borderId="14" xfId="0" applyFont="1" applyBorder="1" applyAlignment="1">
      <alignment horizontal="center" vertical="top" wrapText="1"/>
    </xf>
    <xf numFmtId="0" fontId="7" fillId="0" borderId="14" xfId="0" applyFont="1" applyBorder="1" applyAlignment="1">
      <alignment horizontal="center" vertical="top" wrapText="1"/>
    </xf>
    <xf numFmtId="0" fontId="7" fillId="0" borderId="42" xfId="0" applyFont="1" applyBorder="1" applyAlignment="1">
      <alignment horizontal="center" vertical="top" wrapText="1"/>
    </xf>
    <xf numFmtId="0" fontId="4" fillId="5" borderId="41" xfId="0" applyFont="1" applyFill="1" applyBorder="1" applyAlignment="1">
      <alignment horizontal="center" vertical="top" wrapText="1"/>
    </xf>
    <xf numFmtId="0" fontId="4" fillId="5" borderId="14" xfId="0" applyFont="1" applyFill="1" applyBorder="1" applyAlignment="1">
      <alignment horizontal="center" vertical="top" wrapText="1"/>
    </xf>
    <xf numFmtId="0" fontId="4" fillId="5" borderId="42" xfId="0" applyFont="1" applyFill="1" applyBorder="1" applyAlignment="1">
      <alignment horizontal="center" vertical="top" wrapText="1"/>
    </xf>
    <xf numFmtId="0" fontId="7" fillId="0" borderId="1" xfId="0" applyFont="1" applyBorder="1" applyAlignment="1">
      <alignment horizontal="center"/>
    </xf>
    <xf numFmtId="0" fontId="4" fillId="0" borderId="7" xfId="0" applyFont="1" applyBorder="1" applyAlignment="1">
      <alignment horizontal="center" vertical="top" wrapText="1"/>
    </xf>
    <xf numFmtId="0" fontId="3" fillId="0" borderId="17" xfId="0" applyFont="1" applyBorder="1" applyAlignment="1">
      <alignment horizontal="center" vertical="top" wrapText="1"/>
    </xf>
    <xf numFmtId="0" fontId="3" fillId="5" borderId="1" xfId="0" applyFont="1" applyFill="1" applyBorder="1" applyAlignment="1">
      <alignment horizontal="center" vertical="top" wrapText="1"/>
    </xf>
    <xf numFmtId="0" fontId="3" fillId="5" borderId="17" xfId="0" applyFont="1" applyFill="1" applyBorder="1" applyAlignment="1">
      <alignment horizontal="center" vertical="top" wrapText="1"/>
    </xf>
    <xf numFmtId="0" fontId="3" fillId="0" borderId="7" xfId="0" applyFont="1" applyBorder="1" applyAlignment="1">
      <alignment horizontal="center" vertical="top" wrapText="1"/>
    </xf>
    <xf numFmtId="0" fontId="32" fillId="5" borderId="1" xfId="0" applyFont="1" applyFill="1" applyBorder="1" applyAlignment="1">
      <alignment horizontal="left" vertical="center" wrapText="1"/>
    </xf>
    <xf numFmtId="0" fontId="4" fillId="0" borderId="0" xfId="0" applyFont="1" applyAlignment="1">
      <alignment horizontal="left" vertical="center" wrapText="1"/>
    </xf>
    <xf numFmtId="0" fontId="22" fillId="9" borderId="6" xfId="0" applyFont="1" applyFill="1" applyBorder="1" applyAlignment="1">
      <alignment horizontal="left" vertical="center" wrapText="1"/>
    </xf>
    <xf numFmtId="0" fontId="22" fillId="9" borderId="7" xfId="0" applyFont="1" applyFill="1" applyBorder="1" applyAlignment="1">
      <alignment horizontal="left" vertical="center" wrapText="1"/>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5" fillId="0" borderId="1" xfId="0" applyFont="1" applyBorder="1" applyAlignment="1">
      <alignment horizontal="left"/>
    </xf>
  </cellXfs>
  <cellStyles count="7">
    <cellStyle name="Euro" xfId="6" xr:uid="{00000000-0005-0000-0000-000000000000}"/>
    <cellStyle name="Gut" xfId="3" builtinId="26"/>
    <cellStyle name="Komma" xfId="5" builtinId="3"/>
    <cellStyle name="Prozent" xfId="2" builtinId="5"/>
    <cellStyle name="Standard" xfId="0" builtinId="0"/>
    <cellStyle name="Standard 2" xfId="4" xr:uid="{00000000-0005-0000-0000-000005000000}"/>
    <cellStyle name="Währung" xfId="1" builtinId="4"/>
  </cellStyles>
  <dxfs count="1">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bpa">
      <a:dk1>
        <a:sysClr val="windowText" lastClr="000000"/>
      </a:dk1>
      <a:lt1>
        <a:sysClr val="window" lastClr="FFFFFF"/>
      </a:lt1>
      <a:dk2>
        <a:srgbClr val="1962A1"/>
      </a:dk2>
      <a:lt2>
        <a:srgbClr val="D1E5F9"/>
      </a:lt2>
      <a:accent1>
        <a:srgbClr val="0B4A7C"/>
      </a:accent1>
      <a:accent2>
        <a:srgbClr val="93BDE8"/>
      </a:accent2>
      <a:accent3>
        <a:srgbClr val="D89427"/>
      </a:accent3>
      <a:accent4>
        <a:srgbClr val="AC2326"/>
      </a:accent4>
      <a:accent5>
        <a:srgbClr val="A7C132"/>
      </a:accent5>
      <a:accent6>
        <a:srgbClr val="8D1C6F"/>
      </a:accent6>
      <a:hlink>
        <a:srgbClr val="409378"/>
      </a:hlink>
      <a:folHlink>
        <a:srgbClr val="D4D4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R84"/>
  <sheetViews>
    <sheetView showGridLines="0" tabSelected="1" zoomScale="90" zoomScaleNormal="90" zoomScalePageLayoutView="90" workbookViewId="0">
      <selection activeCell="F19" sqref="F19"/>
    </sheetView>
  </sheetViews>
  <sheetFormatPr baseColWidth="10" defaultColWidth="11.44140625" defaultRowHeight="13.2" x14ac:dyDescent="0.25"/>
  <cols>
    <col min="1" max="1" width="4.6640625" style="1" customWidth="1"/>
    <col min="2" max="2" width="36.33203125" style="1" customWidth="1"/>
    <col min="3" max="6" width="18.6640625" style="1" customWidth="1"/>
    <col min="7" max="8" width="9.6640625" style="1" customWidth="1"/>
    <col min="9" max="9" width="28.88671875" style="1" customWidth="1"/>
    <col min="10" max="10" width="15.5546875" style="1" customWidth="1"/>
    <col min="11" max="11" width="14.5546875" style="1" customWidth="1"/>
    <col min="12" max="12" width="48.33203125" style="1" customWidth="1"/>
    <col min="13" max="13" width="11.44140625" style="1"/>
    <col min="14" max="14" width="10.44140625" style="1" customWidth="1"/>
    <col min="15" max="15" width="11.44140625" style="1"/>
    <col min="16" max="16" width="13.33203125" style="1" bestFit="1" customWidth="1"/>
    <col min="17" max="17" width="14.44140625" style="1" bestFit="1" customWidth="1"/>
    <col min="18" max="18" width="11.5546875" style="1" bestFit="1" customWidth="1"/>
    <col min="19" max="16384" width="11.44140625" style="1"/>
  </cols>
  <sheetData>
    <row r="1" spans="1:8" x14ac:dyDescent="0.25">
      <c r="A1" s="474" t="str">
        <f>"Kalkulation Assistenzleistungen "&amp;TEXT(Kalkulationsblatt!C5,"")&amp;""</f>
        <v xml:space="preserve">Kalkulation Assistenzleistungen </v>
      </c>
      <c r="B1" s="474"/>
      <c r="C1" s="474"/>
      <c r="D1" s="474"/>
      <c r="E1" s="474"/>
      <c r="F1" s="470" t="s">
        <v>308</v>
      </c>
      <c r="G1" s="470"/>
    </row>
    <row r="2" spans="1:8" x14ac:dyDescent="0.25">
      <c r="A2" s="474" t="str">
        <f>"für den Zeitraum vom "&amp;TEXT(Kalkulationsblatt!C13,"TT. MMMM JJJJ")&amp;" bis zum "&amp;TEXT(Kalkulationsblatt!E13,"TT. MMMM JJJJ")&amp;""</f>
        <v>für den Zeitraum vom 00. Januar 1900 bis zum 00. Januar 1900</v>
      </c>
      <c r="B2" s="474"/>
      <c r="C2" s="474"/>
      <c r="D2" s="474"/>
      <c r="E2" s="474"/>
    </row>
    <row r="3" spans="1:8" ht="13.8" thickBot="1" x14ac:dyDescent="0.3">
      <c r="B3" s="459"/>
      <c r="C3" s="459"/>
      <c r="D3" s="459"/>
      <c r="E3" s="459"/>
    </row>
    <row r="4" spans="1:8" x14ac:dyDescent="0.25">
      <c r="B4" s="372" t="s">
        <v>30</v>
      </c>
      <c r="C4" s="475"/>
      <c r="D4" s="475"/>
      <c r="E4" s="476"/>
    </row>
    <row r="5" spans="1:8" x14ac:dyDescent="0.25">
      <c r="B5" s="373" t="s">
        <v>41</v>
      </c>
      <c r="C5" s="457"/>
      <c r="D5" s="457"/>
      <c r="E5" s="458"/>
    </row>
    <row r="6" spans="1:8" x14ac:dyDescent="0.25">
      <c r="B6" s="373" t="s">
        <v>31</v>
      </c>
      <c r="C6" s="457"/>
      <c r="D6" s="457"/>
      <c r="E6" s="458"/>
    </row>
    <row r="7" spans="1:8" x14ac:dyDescent="0.25">
      <c r="B7" s="373" t="s">
        <v>32</v>
      </c>
      <c r="C7" s="376"/>
      <c r="D7" s="375"/>
      <c r="E7" s="367"/>
    </row>
    <row r="8" spans="1:8" x14ac:dyDescent="0.25">
      <c r="B8" s="373" t="s">
        <v>175</v>
      </c>
      <c r="C8" s="457"/>
      <c r="D8" s="457"/>
      <c r="E8" s="458"/>
    </row>
    <row r="9" spans="1:8" x14ac:dyDescent="0.25">
      <c r="B9" s="373" t="s">
        <v>33</v>
      </c>
      <c r="C9" s="457"/>
      <c r="D9" s="457"/>
      <c r="E9" s="458"/>
    </row>
    <row r="10" spans="1:8" x14ac:dyDescent="0.25">
      <c r="B10" s="373" t="s">
        <v>34</v>
      </c>
      <c r="C10" s="457"/>
      <c r="D10" s="457"/>
      <c r="E10" s="458"/>
    </row>
    <row r="11" spans="1:8" x14ac:dyDescent="0.25">
      <c r="B11" s="373" t="s">
        <v>35</v>
      </c>
      <c r="C11" s="457"/>
      <c r="D11" s="457"/>
      <c r="E11" s="458"/>
    </row>
    <row r="12" spans="1:8" x14ac:dyDescent="0.25">
      <c r="B12" s="373" t="s">
        <v>36</v>
      </c>
      <c r="C12" s="457"/>
      <c r="D12" s="457"/>
      <c r="E12" s="458"/>
    </row>
    <row r="13" spans="1:8" ht="13.8" thickBot="1" x14ac:dyDescent="0.3">
      <c r="B13" s="374" t="s">
        <v>19</v>
      </c>
      <c r="C13" s="368"/>
      <c r="D13" s="369" t="s">
        <v>72</v>
      </c>
      <c r="E13" s="370"/>
    </row>
    <row r="14" spans="1:8" x14ac:dyDescent="0.25">
      <c r="C14" s="32"/>
    </row>
    <row r="15" spans="1:8" ht="26.4" customHeight="1" x14ac:dyDescent="0.25">
      <c r="B15" s="253" t="s">
        <v>218</v>
      </c>
      <c r="C15" s="321"/>
    </row>
    <row r="16" spans="1:8" ht="26.4" customHeight="1" x14ac:dyDescent="0.25">
      <c r="B16" s="253" t="s">
        <v>219</v>
      </c>
      <c r="C16" s="322"/>
      <c r="G16" s="469"/>
      <c r="H16" s="469"/>
    </row>
    <row r="17" spans="2:18" ht="26.4" customHeight="1" x14ac:dyDescent="0.25">
      <c r="B17" s="253" t="s">
        <v>18</v>
      </c>
      <c r="C17" s="52"/>
      <c r="G17" s="452" t="s">
        <v>129</v>
      </c>
      <c r="H17" s="452"/>
    </row>
    <row r="18" spans="2:18" ht="26.4" customHeight="1" x14ac:dyDescent="0.25">
      <c r="B18" s="13"/>
      <c r="C18" s="33"/>
      <c r="G18" s="225" t="s">
        <v>172</v>
      </c>
      <c r="H18" s="225" t="s">
        <v>74</v>
      </c>
    </row>
    <row r="19" spans="2:18" ht="26.4" customHeight="1" x14ac:dyDescent="0.25">
      <c r="B19" s="253" t="s">
        <v>220</v>
      </c>
      <c r="C19" s="254"/>
      <c r="D19" s="465" t="s">
        <v>217</v>
      </c>
      <c r="E19" s="465"/>
      <c r="F19" s="371">
        <f>D61</f>
        <v>0</v>
      </c>
      <c r="G19" s="118">
        <f>F19-C19</f>
        <v>0</v>
      </c>
      <c r="H19" s="320" t="str">
        <f>IF(C19=0,"",G19/C19)</f>
        <v/>
      </c>
    </row>
    <row r="20" spans="2:18" ht="26.4" customHeight="1" x14ac:dyDescent="0.25">
      <c r="B20" s="253" t="s">
        <v>221</v>
      </c>
      <c r="C20" s="344"/>
      <c r="D20" s="466" t="s">
        <v>214</v>
      </c>
      <c r="E20" s="466"/>
      <c r="F20" s="255">
        <f>ROUND('PK Zusammenfassung'!K8*C15,2)</f>
        <v>0</v>
      </c>
      <c r="G20" s="255">
        <f>F20-C20</f>
        <v>0</v>
      </c>
      <c r="H20" s="320" t="str">
        <f>IF(C20=0,"",G20/C20)</f>
        <v/>
      </c>
      <c r="I20" s="16"/>
    </row>
    <row r="21" spans="2:18" ht="26.4" customHeight="1" x14ac:dyDescent="0.25">
      <c r="B21" s="253" t="s">
        <v>222</v>
      </c>
      <c r="C21" s="424"/>
      <c r="D21" s="465" t="s">
        <v>215</v>
      </c>
      <c r="E21" s="465"/>
      <c r="F21" s="371">
        <f>E61</f>
        <v>0</v>
      </c>
      <c r="G21" s="118">
        <f>F21-C21</f>
        <v>0</v>
      </c>
      <c r="H21" s="320" t="str">
        <f>IF(C21=0,"",G21/C21)</f>
        <v/>
      </c>
    </row>
    <row r="22" spans="2:18" ht="26.4" customHeight="1" x14ac:dyDescent="0.25">
      <c r="B22" s="253" t="s">
        <v>223</v>
      </c>
      <c r="C22" s="425"/>
      <c r="D22" s="466" t="s">
        <v>216</v>
      </c>
      <c r="E22" s="466"/>
      <c r="F22" s="255">
        <f>ROUND('PK Zusammenfassung'!K46*C16,2)</f>
        <v>0</v>
      </c>
      <c r="G22" s="255">
        <f>F22-C22</f>
        <v>0</v>
      </c>
      <c r="H22" s="320" t="str">
        <f>IF(C22=0,"",G22/C22)</f>
        <v/>
      </c>
      <c r="I22" s="16"/>
    </row>
    <row r="23" spans="2:18" x14ac:dyDescent="0.25">
      <c r="C23" s="252"/>
      <c r="G23" s="251"/>
    </row>
    <row r="24" spans="2:18" ht="26.4" customHeight="1" x14ac:dyDescent="0.25">
      <c r="C24" s="462" t="s">
        <v>39</v>
      </c>
      <c r="D24" s="462"/>
      <c r="E24" s="462"/>
      <c r="F24" s="462"/>
      <c r="G24" s="462"/>
      <c r="H24" s="462"/>
    </row>
    <row r="25" spans="2:18" ht="26.4" customHeight="1" x14ac:dyDescent="0.25">
      <c r="B25" s="30"/>
      <c r="C25" s="469" t="s">
        <v>128</v>
      </c>
      <c r="D25" s="469"/>
      <c r="E25" s="469"/>
      <c r="F25" s="461" t="s">
        <v>127</v>
      </c>
      <c r="G25" s="461"/>
      <c r="H25" s="461"/>
      <c r="I25" s="2"/>
      <c r="N25" s="31"/>
      <c r="P25" s="4"/>
      <c r="Q25" s="56"/>
      <c r="R25" s="57"/>
    </row>
    <row r="26" spans="2:18" ht="26.25" customHeight="1" x14ac:dyDescent="0.25">
      <c r="B26" s="37" t="s">
        <v>38</v>
      </c>
      <c r="C26" s="32" t="s">
        <v>42</v>
      </c>
      <c r="D26" s="36" t="s">
        <v>228</v>
      </c>
      <c r="E26" s="36" t="s">
        <v>229</v>
      </c>
      <c r="F26" s="153" t="s">
        <v>228</v>
      </c>
      <c r="G26" s="473" t="s">
        <v>229</v>
      </c>
      <c r="H26" s="473"/>
      <c r="N26" s="31"/>
      <c r="P26" s="4"/>
      <c r="Q26" s="56"/>
      <c r="R26" s="57"/>
    </row>
    <row r="27" spans="2:18" ht="26.25" customHeight="1" x14ac:dyDescent="0.25">
      <c r="B27" s="30"/>
      <c r="C27" s="32"/>
      <c r="F27" s="263"/>
      <c r="G27" s="471"/>
      <c r="H27" s="471"/>
      <c r="J27" s="284"/>
      <c r="K27" s="284"/>
      <c r="N27" s="31"/>
      <c r="P27" s="4"/>
      <c r="Q27" s="56"/>
      <c r="R27" s="57"/>
    </row>
    <row r="28" spans="2:18" ht="26.4" customHeight="1" x14ac:dyDescent="0.25">
      <c r="B28" s="62" t="s">
        <v>0</v>
      </c>
      <c r="C28" s="63"/>
      <c r="D28" s="306" t="e">
        <f>D29/($D$29+$E$30)</f>
        <v>#DIV/0!</v>
      </c>
      <c r="E28" s="306" t="e">
        <f>E30/($D$29+$E$30)</f>
        <v>#DIV/0!</v>
      </c>
      <c r="F28" s="244"/>
      <c r="G28" s="450"/>
      <c r="H28" s="450"/>
      <c r="I28" s="308"/>
    </row>
    <row r="29" spans="2:18" ht="26.4" customHeight="1" x14ac:dyDescent="0.25">
      <c r="B29" s="30" t="s">
        <v>52</v>
      </c>
      <c r="C29" s="95">
        <f>D29+E29</f>
        <v>0</v>
      </c>
      <c r="D29" s="99">
        <f>'PK Zusammenfassung'!I8</f>
        <v>0</v>
      </c>
      <c r="E29" s="99"/>
      <c r="F29" s="245">
        <f t="shared" ref="F29:F34" si="0">IF($F$20=0,0,D29/$F$20)</f>
        <v>0</v>
      </c>
      <c r="G29" s="460">
        <f t="shared" ref="G29:G34" si="1">IF($F$22=0,0,E29/$F$22)</f>
        <v>0</v>
      </c>
      <c r="H29" s="460"/>
      <c r="I29" s="285"/>
      <c r="J29" s="284"/>
      <c r="K29" s="284"/>
    </row>
    <row r="30" spans="2:18" ht="26.4" customHeight="1" x14ac:dyDescent="0.25">
      <c r="B30" s="30" t="s">
        <v>53</v>
      </c>
      <c r="C30" s="95">
        <f>D30+E30</f>
        <v>0</v>
      </c>
      <c r="D30" s="99"/>
      <c r="E30" s="99">
        <f>'PK Zusammenfassung'!I46</f>
        <v>0</v>
      </c>
      <c r="F30" s="245">
        <f t="shared" si="0"/>
        <v>0</v>
      </c>
      <c r="G30" s="449">
        <f t="shared" si="1"/>
        <v>0</v>
      </c>
      <c r="H30" s="449"/>
      <c r="I30" s="2"/>
    </row>
    <row r="31" spans="2:18" ht="26.4" customHeight="1" x14ac:dyDescent="0.25">
      <c r="B31" s="30" t="s">
        <v>43</v>
      </c>
      <c r="C31" s="99">
        <f>'PK Zusammenfassung'!I88</f>
        <v>0</v>
      </c>
      <c r="D31" s="95" t="e">
        <f>C31*$D$28</f>
        <v>#DIV/0!</v>
      </c>
      <c r="E31" s="95" t="e">
        <f>C31*$E$28</f>
        <v>#DIV/0!</v>
      </c>
      <c r="F31" s="245">
        <f t="shared" si="0"/>
        <v>0</v>
      </c>
      <c r="G31" s="449">
        <f t="shared" si="1"/>
        <v>0</v>
      </c>
      <c r="H31" s="449"/>
      <c r="I31" s="2"/>
    </row>
    <row r="32" spans="2:18" ht="26.4" customHeight="1" x14ac:dyDescent="0.25">
      <c r="B32" s="30" t="s">
        <v>28</v>
      </c>
      <c r="C32" s="98"/>
      <c r="D32" s="95" t="e">
        <f>C32*$D$28</f>
        <v>#DIV/0!</v>
      </c>
      <c r="E32" s="95" t="e">
        <f>C32*$E$28</f>
        <v>#DIV/0!</v>
      </c>
      <c r="F32" s="245">
        <f t="shared" si="0"/>
        <v>0</v>
      </c>
      <c r="G32" s="449">
        <f t="shared" si="1"/>
        <v>0</v>
      </c>
      <c r="H32" s="449"/>
      <c r="I32" s="2"/>
    </row>
    <row r="33" spans="2:10" ht="26.4" customHeight="1" thickBot="1" x14ac:dyDescent="0.3">
      <c r="B33" s="92" t="s">
        <v>29</v>
      </c>
      <c r="C33" s="97">
        <f>Sachkosten!C15</f>
        <v>0</v>
      </c>
      <c r="D33" s="97" t="e">
        <f>C33*$D$28</f>
        <v>#DIV/0!</v>
      </c>
      <c r="E33" s="97" t="e">
        <f>C33*$E$28</f>
        <v>#DIV/0!</v>
      </c>
      <c r="F33" s="246">
        <f t="shared" si="0"/>
        <v>0</v>
      </c>
      <c r="G33" s="451">
        <f t="shared" si="1"/>
        <v>0</v>
      </c>
      <c r="H33" s="451"/>
      <c r="I33" s="323"/>
      <c r="J33" s="324"/>
    </row>
    <row r="34" spans="2:10" ht="26.4" customHeight="1" thickTop="1" thickBot="1" x14ac:dyDescent="0.3">
      <c r="B34" s="89" t="s">
        <v>57</v>
      </c>
      <c r="C34" s="90" t="e">
        <f>SUM(D34:E34)</f>
        <v>#DIV/0!</v>
      </c>
      <c r="D34" s="91" t="e">
        <f>SUM(D29:D33)</f>
        <v>#DIV/0!</v>
      </c>
      <c r="E34" s="91" t="e">
        <f>SUM(E29:E33)</f>
        <v>#DIV/0!</v>
      </c>
      <c r="F34" s="247">
        <f t="shared" si="0"/>
        <v>0</v>
      </c>
      <c r="G34" s="447">
        <f t="shared" si="1"/>
        <v>0</v>
      </c>
      <c r="H34" s="447"/>
    </row>
    <row r="35" spans="2:10" ht="26.4" customHeight="1" thickTop="1" x14ac:dyDescent="0.25">
      <c r="B35" s="30"/>
      <c r="C35" s="30"/>
      <c r="D35" s="65"/>
      <c r="E35" s="65"/>
      <c r="F35" s="243"/>
      <c r="G35" s="448"/>
      <c r="H35" s="448"/>
    </row>
    <row r="36" spans="2:10" ht="26.4" customHeight="1" x14ac:dyDescent="0.25">
      <c r="B36" s="62" t="s">
        <v>1</v>
      </c>
      <c r="C36" s="63"/>
      <c r="D36" s="307" t="e">
        <f>'PK Zusammenfassung'!K8/('PK Zusammenfassung'!K8+'PK Zusammenfassung'!K46)</f>
        <v>#DIV/0!</v>
      </c>
      <c r="E36" s="307" t="e">
        <f>'PK Zusammenfassung'!K46/('PK Zusammenfassung'!K8+'PK Zusammenfassung'!K46)</f>
        <v>#DIV/0!</v>
      </c>
      <c r="F36" s="244"/>
      <c r="G36" s="450"/>
      <c r="H36" s="450"/>
      <c r="I36" s="308"/>
    </row>
    <row r="37" spans="2:10" ht="26.4" customHeight="1" x14ac:dyDescent="0.25">
      <c r="B37" s="30" t="s">
        <v>59</v>
      </c>
      <c r="C37" s="334">
        <f>Sachkosten!C40</f>
        <v>0</v>
      </c>
      <c r="D37" s="95" t="e">
        <f>C37*$D$36</f>
        <v>#DIV/0!</v>
      </c>
      <c r="E37" s="95" t="e">
        <f>C37*$E$36</f>
        <v>#DIV/0!</v>
      </c>
      <c r="F37" s="245">
        <f>IF($F$20=0,0,D37/$F$20)</f>
        <v>0</v>
      </c>
      <c r="G37" s="449">
        <f>IF($F$22=0,0,E37/$F$22)</f>
        <v>0</v>
      </c>
      <c r="H37" s="449"/>
      <c r="I37" s="16"/>
    </row>
    <row r="38" spans="2:10" ht="26.4" customHeight="1" x14ac:dyDescent="0.25">
      <c r="B38" s="7" t="s">
        <v>2</v>
      </c>
      <c r="C38" s="334">
        <f>Sachkosten!C45</f>
        <v>0</v>
      </c>
      <c r="D38" s="95" t="e">
        <f>C38*$D$36</f>
        <v>#DIV/0!</v>
      </c>
      <c r="E38" s="95" t="e">
        <f>C38*$E$36</f>
        <v>#DIV/0!</v>
      </c>
      <c r="F38" s="245">
        <f>IF($F$20=0,0,D38/$F$20)</f>
        <v>0</v>
      </c>
      <c r="G38" s="449">
        <f>IF($F$22=0,0,E38/$F$22)</f>
        <v>0</v>
      </c>
      <c r="H38" s="449"/>
      <c r="I38" s="16"/>
    </row>
    <row r="39" spans="2:10" ht="26.4" customHeight="1" x14ac:dyDescent="0.25">
      <c r="B39" s="7" t="s">
        <v>3</v>
      </c>
      <c r="C39" s="334">
        <f>Sachkosten!C50</f>
        <v>0</v>
      </c>
      <c r="D39" s="95" t="e">
        <f>C39*$D$36</f>
        <v>#DIV/0!</v>
      </c>
      <c r="E39" s="95" t="e">
        <f>C39*$E$36</f>
        <v>#DIV/0!</v>
      </c>
      <c r="F39" s="245">
        <f>IF($F$20=0,0,D39/$F$20)</f>
        <v>0</v>
      </c>
      <c r="G39" s="449">
        <f>IF($F$22=0,0,E39/$F$22)</f>
        <v>0</v>
      </c>
      <c r="H39" s="449"/>
      <c r="I39" s="16"/>
    </row>
    <row r="40" spans="2:10" ht="26.4" customHeight="1" thickBot="1" x14ac:dyDescent="0.3">
      <c r="B40" s="353" t="s">
        <v>4</v>
      </c>
      <c r="C40" s="262">
        <f>Sachkosten!C56</f>
        <v>0</v>
      </c>
      <c r="D40" s="95" t="e">
        <f>C40*$D$36</f>
        <v>#DIV/0!</v>
      </c>
      <c r="E40" s="95" t="e">
        <f>C40*$E$36</f>
        <v>#DIV/0!</v>
      </c>
      <c r="F40" s="246">
        <f>IF($F$20=0,0,D40/$F$20)</f>
        <v>0</v>
      </c>
      <c r="G40" s="451">
        <f>IF($F$22=0,0,E40/$F$22)</f>
        <v>0</v>
      </c>
      <c r="H40" s="451"/>
    </row>
    <row r="41" spans="2:10" ht="26.4" customHeight="1" thickTop="1" thickBot="1" x14ac:dyDescent="0.3">
      <c r="B41" s="100" t="s">
        <v>58</v>
      </c>
      <c r="C41" s="93">
        <f>SUM(C37:C40)</f>
        <v>0</v>
      </c>
      <c r="D41" s="93" t="e">
        <f>C41*D36</f>
        <v>#DIV/0!</v>
      </c>
      <c r="E41" s="93" t="e">
        <f>C41*E36</f>
        <v>#DIV/0!</v>
      </c>
      <c r="F41" s="247">
        <f>IF($F$20=0,0,D41/$F$20)</f>
        <v>0</v>
      </c>
      <c r="G41" s="447">
        <f>IF($F$22=0,0,E41/$F$22)</f>
        <v>0</v>
      </c>
      <c r="H41" s="447"/>
      <c r="I41" s="2"/>
    </row>
    <row r="42" spans="2:10" ht="26.4" customHeight="1" thickTop="1" x14ac:dyDescent="0.25">
      <c r="B42" s="30"/>
      <c r="C42" s="30"/>
      <c r="D42" s="30"/>
      <c r="E42" s="30"/>
      <c r="F42" s="243"/>
      <c r="G42" s="448"/>
      <c r="H42" s="448"/>
    </row>
    <row r="43" spans="2:10" ht="26.4" customHeight="1" x14ac:dyDescent="0.25">
      <c r="B43" s="62" t="s">
        <v>56</v>
      </c>
      <c r="C43" s="63"/>
      <c r="D43" s="63"/>
      <c r="E43" s="63"/>
      <c r="F43" s="244"/>
      <c r="G43" s="450"/>
      <c r="H43" s="450"/>
      <c r="I43" s="16"/>
    </row>
    <row r="44" spans="2:10" ht="26.4" customHeight="1" x14ac:dyDescent="0.25">
      <c r="B44" s="13" t="s">
        <v>64</v>
      </c>
      <c r="C44" s="334">
        <f>Investitionskostenaufstellung!C25</f>
        <v>0</v>
      </c>
      <c r="D44" s="95" t="e">
        <f>C44*$D$36</f>
        <v>#DIV/0!</v>
      </c>
      <c r="E44" s="95" t="e">
        <f>C44*$E$36</f>
        <v>#DIV/0!</v>
      </c>
      <c r="F44" s="245">
        <f>IF($F$20=0,0,D44/$F$20)</f>
        <v>0</v>
      </c>
      <c r="G44" s="449">
        <f>IF($F$22=0,0,E44/$F$22)</f>
        <v>0</v>
      </c>
      <c r="H44" s="449"/>
      <c r="I44" s="2"/>
    </row>
    <row r="45" spans="2:10" ht="26.4" customHeight="1" x14ac:dyDescent="0.25">
      <c r="B45" s="13" t="s">
        <v>134</v>
      </c>
      <c r="C45" s="334">
        <f>Investitionskostenaufstellung!D25</f>
        <v>0</v>
      </c>
      <c r="D45" s="95" t="e">
        <f>C45*$D$36</f>
        <v>#DIV/0!</v>
      </c>
      <c r="E45" s="95" t="e">
        <f>C45*$E$36</f>
        <v>#DIV/0!</v>
      </c>
      <c r="F45" s="245">
        <f>IF($F$20=0,0,D45/$F$20)</f>
        <v>0</v>
      </c>
      <c r="G45" s="449">
        <f>IF($F$22=0,0,E45/$F$22)</f>
        <v>0</v>
      </c>
      <c r="H45" s="449"/>
      <c r="I45" s="2"/>
    </row>
    <row r="46" spans="2:10" ht="26.4" customHeight="1" x14ac:dyDescent="0.25">
      <c r="B46" s="105" t="s">
        <v>224</v>
      </c>
      <c r="C46" s="334">
        <f>Investitionskostenaufstellung!E25</f>
        <v>0</v>
      </c>
      <c r="D46" s="95" t="e">
        <f>C46*$D$36</f>
        <v>#DIV/0!</v>
      </c>
      <c r="E46" s="95" t="e">
        <f>C46*$E$36</f>
        <v>#DIV/0!</v>
      </c>
      <c r="F46" s="245">
        <f>IF($F$20=0,0,D46/$F$20)</f>
        <v>0</v>
      </c>
      <c r="G46" s="449">
        <f>IF($F$22=0,0,E46/$F$22)</f>
        <v>0</v>
      </c>
      <c r="H46" s="449"/>
      <c r="I46" s="16"/>
    </row>
    <row r="47" spans="2:10" ht="26.4" customHeight="1" thickBot="1" x14ac:dyDescent="0.3">
      <c r="B47" s="106" t="s">
        <v>63</v>
      </c>
      <c r="C47" s="96">
        <f>Investitionskostenaufstellung!F25</f>
        <v>0</v>
      </c>
      <c r="D47" s="95" t="e">
        <f>C47*$D$36</f>
        <v>#DIV/0!</v>
      </c>
      <c r="E47" s="95" t="e">
        <f>C47*$E$36</f>
        <v>#DIV/0!</v>
      </c>
      <c r="F47" s="246">
        <f>IF($F$20=0,0,D47/$F$20)</f>
        <v>0</v>
      </c>
      <c r="G47" s="451">
        <f>IF($F$22=0,0,E47/$F$22)</f>
        <v>0</v>
      </c>
      <c r="H47" s="451"/>
      <c r="I47" s="16"/>
    </row>
    <row r="48" spans="2:10" ht="26.4" customHeight="1" thickTop="1" thickBot="1" x14ac:dyDescent="0.3">
      <c r="B48" s="94" t="s">
        <v>61</v>
      </c>
      <c r="C48" s="93">
        <f>SUM(C44:C47)</f>
        <v>0</v>
      </c>
      <c r="D48" s="93" t="e">
        <f>SUM(D44:D47)</f>
        <v>#DIV/0!</v>
      </c>
      <c r="E48" s="93" t="e">
        <f>SUM(E44:E47)</f>
        <v>#DIV/0!</v>
      </c>
      <c r="F48" s="247">
        <f>IF($F$20=0,0,D48/$F$20)</f>
        <v>0</v>
      </c>
      <c r="G48" s="447">
        <f>IF($F$22=0,0,E48/$F$22)</f>
        <v>0</v>
      </c>
      <c r="H48" s="447"/>
    </row>
    <row r="49" spans="2:16" ht="26.4" customHeight="1" thickTop="1" x14ac:dyDescent="0.25">
      <c r="B49" s="66"/>
      <c r="C49" s="30"/>
      <c r="D49" s="64"/>
      <c r="E49" s="64"/>
      <c r="F49" s="243"/>
      <c r="G49" s="448"/>
      <c r="H49" s="448"/>
    </row>
    <row r="50" spans="2:16" ht="26.4" customHeight="1" x14ac:dyDescent="0.25">
      <c r="B50" s="62" t="s">
        <v>5</v>
      </c>
      <c r="C50" s="63"/>
      <c r="D50" s="67"/>
      <c r="E50" s="67"/>
      <c r="F50" s="244"/>
      <c r="G50" s="450"/>
      <c r="H50" s="450"/>
      <c r="I50" s="2"/>
      <c r="L50" s="225" t="s">
        <v>173</v>
      </c>
    </row>
    <row r="51" spans="2:16" ht="26.4" customHeight="1" x14ac:dyDescent="0.25">
      <c r="B51" s="30" t="s">
        <v>151</v>
      </c>
      <c r="C51" s="68"/>
      <c r="D51" s="95" t="e">
        <f>C51*$D$28</f>
        <v>#DIV/0!</v>
      </c>
      <c r="E51" s="95" t="e">
        <f>C51*$E$28</f>
        <v>#DIV/0!</v>
      </c>
      <c r="F51" s="245">
        <f>IF($F$20=0,0,D51/$F$20)</f>
        <v>0</v>
      </c>
      <c r="G51" s="449">
        <f>IF($F$22=0,0,E51/$F$22)</f>
        <v>0</v>
      </c>
      <c r="H51" s="449"/>
      <c r="I51" s="308"/>
      <c r="J51" s="452" t="s">
        <v>205</v>
      </c>
      <c r="K51" s="452"/>
      <c r="L51" s="51"/>
    </row>
    <row r="52" spans="2:16" ht="26.4" customHeight="1" thickBot="1" x14ac:dyDescent="0.3">
      <c r="B52" s="30" t="s">
        <v>153</v>
      </c>
      <c r="C52" s="68"/>
      <c r="D52" s="95" t="e">
        <f>C52*$D$36</f>
        <v>#DIV/0!</v>
      </c>
      <c r="E52" s="95" t="e">
        <f>C52*$E$36</f>
        <v>#DIV/0!</v>
      </c>
      <c r="F52" s="246">
        <f>IF($F$20=0,0,D52/$F$20)</f>
        <v>0</v>
      </c>
      <c r="G52" s="451">
        <f>IF($F$22=0,0,E52/$F$22)</f>
        <v>0</v>
      </c>
      <c r="H52" s="451"/>
      <c r="I52" s="308"/>
      <c r="J52" s="452" t="s">
        <v>205</v>
      </c>
      <c r="K52" s="452"/>
      <c r="L52" s="51"/>
    </row>
    <row r="53" spans="2:16" ht="26.4" customHeight="1" thickTop="1" thickBot="1" x14ac:dyDescent="0.3">
      <c r="B53" s="100" t="s">
        <v>60</v>
      </c>
      <c r="C53" s="94">
        <f>-SUM(C51:C52)</f>
        <v>0</v>
      </c>
      <c r="D53" s="94" t="e">
        <f>-SUM(D51:D52)</f>
        <v>#DIV/0!</v>
      </c>
      <c r="E53" s="94" t="e">
        <f>-SUM(E51:E52)</f>
        <v>#DIV/0!</v>
      </c>
      <c r="F53" s="248">
        <f>IF($F$20=0,0,D53/$F$20)</f>
        <v>0</v>
      </c>
      <c r="G53" s="447">
        <f>IF($F$22=0,0,E53/$F$22)</f>
        <v>0</v>
      </c>
      <c r="H53" s="447"/>
    </row>
    <row r="54" spans="2:16" ht="26.4" customHeight="1" thickTop="1" thickBot="1" x14ac:dyDescent="0.3">
      <c r="B54" s="92"/>
      <c r="C54" s="262"/>
      <c r="D54" s="97"/>
      <c r="E54" s="97"/>
      <c r="F54" s="246"/>
      <c r="G54" s="456"/>
      <c r="H54" s="456"/>
    </row>
    <row r="55" spans="2:16" ht="26.4" customHeight="1" thickTop="1" thickBot="1" x14ac:dyDescent="0.3">
      <c r="B55" s="100" t="s">
        <v>57</v>
      </c>
      <c r="C55" s="264" t="e">
        <f>C34</f>
        <v>#DIV/0!</v>
      </c>
      <c r="D55" s="264" t="e">
        <f>D34</f>
        <v>#DIV/0!</v>
      </c>
      <c r="E55" s="264" t="e">
        <f>E34</f>
        <v>#DIV/0!</v>
      </c>
      <c r="F55" s="265">
        <f>F34</f>
        <v>0</v>
      </c>
      <c r="G55" s="454">
        <f>G34</f>
        <v>0</v>
      </c>
      <c r="H55" s="454"/>
      <c r="I55" s="277"/>
      <c r="J55" s="277"/>
      <c r="K55" s="277"/>
      <c r="L55" s="16"/>
      <c r="M55" s="266"/>
    </row>
    <row r="56" spans="2:16" ht="26.4" customHeight="1" thickTop="1" thickBot="1" x14ac:dyDescent="0.3">
      <c r="B56" s="100" t="s">
        <v>132</v>
      </c>
      <c r="C56" s="264">
        <f>C41+C48+C53</f>
        <v>0</v>
      </c>
      <c r="D56" s="264" t="e">
        <f>D41+D48+D53</f>
        <v>#DIV/0!</v>
      </c>
      <c r="E56" s="264" t="e">
        <f>E41+E48+E53</f>
        <v>#DIV/0!</v>
      </c>
      <c r="F56" s="265">
        <f>F41+F48+F53</f>
        <v>0</v>
      </c>
      <c r="G56" s="454">
        <f>G41+G48+G53</f>
        <v>0</v>
      </c>
      <c r="H56" s="454"/>
      <c r="I56" s="277"/>
      <c r="J56" s="277"/>
      <c r="K56" s="277"/>
      <c r="L56" s="266"/>
      <c r="M56" s="266"/>
    </row>
    <row r="57" spans="2:16" ht="26.4" customHeight="1" thickTop="1" thickBot="1" x14ac:dyDescent="0.3">
      <c r="B57" s="103"/>
      <c r="C57" s="92"/>
      <c r="D57" s="97"/>
      <c r="E57" s="97"/>
      <c r="F57" s="249"/>
      <c r="G57" s="455"/>
      <c r="H57" s="455"/>
    </row>
    <row r="58" spans="2:16" ht="26.4" customHeight="1" thickTop="1" thickBot="1" x14ac:dyDescent="0.3">
      <c r="B58" s="102" t="s">
        <v>133</v>
      </c>
      <c r="C58" s="104" t="e">
        <f>C55+C56</f>
        <v>#DIV/0!</v>
      </c>
      <c r="D58" s="104" t="e">
        <f>D55+D56</f>
        <v>#DIV/0!</v>
      </c>
      <c r="E58" s="104" t="e">
        <f>E55+E56</f>
        <v>#DIV/0!</v>
      </c>
      <c r="F58" s="283">
        <f>F55+F56</f>
        <v>0</v>
      </c>
      <c r="G58" s="453">
        <f>G55+G56</f>
        <v>0</v>
      </c>
      <c r="H58" s="453"/>
      <c r="J58" s="279"/>
      <c r="K58" s="275"/>
      <c r="L58" s="275"/>
      <c r="M58" s="275"/>
      <c r="N58" s="275"/>
    </row>
    <row r="59" spans="2:16" ht="26.4" customHeight="1" thickTop="1" x14ac:dyDescent="0.25">
      <c r="B59" s="50"/>
      <c r="C59" s="30"/>
      <c r="I59" s="101"/>
      <c r="J59" s="276"/>
      <c r="K59" s="275"/>
      <c r="L59" s="275"/>
      <c r="M59" s="275"/>
      <c r="N59" s="275"/>
    </row>
    <row r="60" spans="2:16" ht="26.4" customHeight="1" thickBot="1" x14ac:dyDescent="0.3">
      <c r="B60" s="30"/>
      <c r="C60" s="30"/>
      <c r="D60" s="36" t="s">
        <v>228</v>
      </c>
      <c r="E60" s="36" t="s">
        <v>229</v>
      </c>
      <c r="H60" s="16"/>
      <c r="J60" s="276"/>
      <c r="K60" s="276"/>
      <c r="L60" s="276"/>
      <c r="M60" s="277"/>
      <c r="N60" s="277"/>
      <c r="O60" s="276"/>
      <c r="P60" s="276"/>
    </row>
    <row r="61" spans="2:16" ht="26.4" customHeight="1" thickBot="1" x14ac:dyDescent="0.3">
      <c r="B61" s="82" t="str">
        <f>"Stundensatz "&amp;TEXT(Kalkulationsblatt!C13,"TT. MMMM JJJJ")&amp;" bis "&amp;TEXT(Kalkulationsblatt!E13,"TT. MMMM JJJJ")&amp;""</f>
        <v>Stundensatz 00. Januar 1900 bis 00. Januar 1900</v>
      </c>
      <c r="C61" s="83"/>
      <c r="D61" s="85">
        <f>IF(F20=0,0,ROUND(D58/F20,2))</f>
        <v>0</v>
      </c>
      <c r="E61" s="84">
        <f>IF(F22=0,0,ROUND(E58/F22,2))</f>
        <v>0</v>
      </c>
      <c r="G61" s="250"/>
      <c r="J61" s="276"/>
      <c r="K61" s="276"/>
      <c r="L61" s="276"/>
      <c r="M61" s="277"/>
      <c r="N61" s="277"/>
      <c r="O61" s="276"/>
      <c r="P61" s="276"/>
    </row>
    <row r="62" spans="2:16" ht="26.4" customHeight="1" thickBot="1" x14ac:dyDescent="0.3">
      <c r="B62" s="30"/>
      <c r="C62" s="30"/>
      <c r="D62" s="30"/>
      <c r="E62" s="30"/>
      <c r="G62" s="250"/>
      <c r="J62" s="275"/>
      <c r="K62" s="276"/>
      <c r="L62" s="276"/>
      <c r="M62" s="275"/>
      <c r="N62" s="275"/>
      <c r="O62" s="276"/>
      <c r="P62" s="276"/>
    </row>
    <row r="63" spans="2:16" ht="26.4" customHeight="1" thickBot="1" x14ac:dyDescent="0.3">
      <c r="B63" s="86" t="s">
        <v>227</v>
      </c>
      <c r="C63" s="87"/>
      <c r="D63" s="87"/>
      <c r="E63" s="88"/>
      <c r="J63" s="275"/>
      <c r="K63" s="278"/>
      <c r="L63" s="278"/>
      <c r="M63" s="275"/>
      <c r="N63" s="275"/>
    </row>
    <row r="64" spans="2:16" ht="26.4" customHeight="1" x14ac:dyDescent="0.25">
      <c r="B64" s="71" t="s">
        <v>14</v>
      </c>
      <c r="C64" s="72" t="s">
        <v>225</v>
      </c>
      <c r="D64" s="73" t="s">
        <v>54</v>
      </c>
      <c r="E64" s="74"/>
      <c r="F64" s="8"/>
      <c r="G64" s="8"/>
      <c r="H64" s="28"/>
      <c r="I64" s="6"/>
      <c r="J64" s="280"/>
      <c r="K64" s="281"/>
      <c r="L64" s="282"/>
      <c r="M64" s="7"/>
      <c r="N64" s="7"/>
    </row>
    <row r="65" spans="2:16" ht="26.4" customHeight="1" x14ac:dyDescent="0.25">
      <c r="B65" s="75" t="s">
        <v>6</v>
      </c>
      <c r="C65" s="347">
        <v>1</v>
      </c>
      <c r="D65" s="69">
        <f t="shared" ref="D65" si="2">ROUND($D$61*C65/7,2)</f>
        <v>0</v>
      </c>
      <c r="E65" s="76"/>
      <c r="F65" s="9"/>
      <c r="G65" s="9"/>
      <c r="H65" s="10"/>
      <c r="I65" s="6"/>
      <c r="J65" s="7"/>
      <c r="K65" s="7"/>
      <c r="L65" s="6"/>
      <c r="M65" s="14"/>
      <c r="N65" s="14"/>
      <c r="P65" s="5"/>
    </row>
    <row r="66" spans="2:16" ht="26.4" customHeight="1" x14ac:dyDescent="0.25">
      <c r="B66" s="75" t="s">
        <v>7</v>
      </c>
      <c r="C66" s="348">
        <v>2</v>
      </c>
      <c r="D66" s="69">
        <f t="shared" ref="D66:D72" si="3">$D$65*C66</f>
        <v>0</v>
      </c>
      <c r="E66" s="76"/>
      <c r="F66" s="9"/>
      <c r="G66" s="9"/>
      <c r="H66" s="10"/>
      <c r="I66" s="6"/>
      <c r="J66" s="7"/>
      <c r="K66" s="7"/>
      <c r="L66" s="14"/>
      <c r="M66" s="14"/>
      <c r="N66" s="14"/>
      <c r="P66" s="5"/>
    </row>
    <row r="67" spans="2:16" ht="26.4" customHeight="1" x14ac:dyDescent="0.25">
      <c r="B67" s="75" t="s">
        <v>8</v>
      </c>
      <c r="C67" s="348">
        <v>3</v>
      </c>
      <c r="D67" s="69">
        <f t="shared" si="3"/>
        <v>0</v>
      </c>
      <c r="E67" s="76"/>
      <c r="F67" s="9"/>
      <c r="G67" s="9"/>
      <c r="H67" s="10"/>
      <c r="I67" s="6"/>
      <c r="J67" s="7"/>
      <c r="K67" s="7"/>
      <c r="L67" s="14"/>
      <c r="M67" s="14"/>
      <c r="N67" s="14"/>
      <c r="P67" s="5"/>
    </row>
    <row r="68" spans="2:16" ht="26.4" customHeight="1" x14ac:dyDescent="0.25">
      <c r="B68" s="75" t="s">
        <v>9</v>
      </c>
      <c r="C68" s="348">
        <v>4</v>
      </c>
      <c r="D68" s="69">
        <f t="shared" si="3"/>
        <v>0</v>
      </c>
      <c r="E68" s="76"/>
      <c r="F68" s="9"/>
      <c r="G68" s="9"/>
      <c r="H68" s="10"/>
      <c r="I68" s="6"/>
      <c r="J68" s="7"/>
      <c r="K68" s="7"/>
      <c r="L68" s="14"/>
      <c r="M68" s="14"/>
      <c r="N68" s="14"/>
      <c r="P68" s="5"/>
    </row>
    <row r="69" spans="2:16" ht="26.4" customHeight="1" x14ac:dyDescent="0.25">
      <c r="B69" s="75" t="s">
        <v>10</v>
      </c>
      <c r="C69" s="348">
        <v>5.5</v>
      </c>
      <c r="D69" s="69">
        <f t="shared" si="3"/>
        <v>0</v>
      </c>
      <c r="E69" s="76"/>
      <c r="F69" s="9"/>
      <c r="G69" s="9"/>
      <c r="H69" s="10"/>
      <c r="I69" s="6"/>
      <c r="J69" s="7"/>
      <c r="K69" s="7"/>
      <c r="L69" s="14"/>
      <c r="M69" s="14"/>
      <c r="N69" s="14"/>
      <c r="P69" s="5"/>
    </row>
    <row r="70" spans="2:16" ht="26.4" customHeight="1" x14ac:dyDescent="0.25">
      <c r="B70" s="75" t="s">
        <v>11</v>
      </c>
      <c r="C70" s="348">
        <v>7.5</v>
      </c>
      <c r="D70" s="69">
        <f t="shared" si="3"/>
        <v>0</v>
      </c>
      <c r="E70" s="76"/>
      <c r="F70" s="9"/>
      <c r="G70" s="9"/>
      <c r="H70" s="10"/>
      <c r="I70" s="6"/>
      <c r="J70" s="7"/>
      <c r="K70" s="7"/>
      <c r="L70" s="14"/>
      <c r="M70" s="14"/>
      <c r="N70" s="14"/>
      <c r="P70" s="5"/>
    </row>
    <row r="71" spans="2:16" ht="26.4" customHeight="1" x14ac:dyDescent="0.25">
      <c r="B71" s="75" t="s">
        <v>12</v>
      </c>
      <c r="C71" s="348">
        <v>10.5</v>
      </c>
      <c r="D71" s="69">
        <f t="shared" si="3"/>
        <v>0</v>
      </c>
      <c r="E71" s="76"/>
      <c r="F71" s="9"/>
      <c r="G71" s="9"/>
      <c r="H71" s="10"/>
      <c r="I71" s="6"/>
      <c r="J71" s="7"/>
      <c r="K71" s="7"/>
      <c r="L71" s="14"/>
      <c r="M71" s="14"/>
      <c r="N71" s="14"/>
      <c r="P71" s="5"/>
    </row>
    <row r="72" spans="2:16" ht="26.4" customHeight="1" x14ac:dyDescent="0.25">
      <c r="B72" s="75" t="s">
        <v>13</v>
      </c>
      <c r="C72" s="348">
        <v>15</v>
      </c>
      <c r="D72" s="69">
        <f t="shared" si="3"/>
        <v>0</v>
      </c>
      <c r="E72" s="76"/>
      <c r="F72" s="9"/>
      <c r="G72" s="9"/>
      <c r="H72" s="10"/>
      <c r="I72" s="6"/>
      <c r="J72" s="7"/>
      <c r="K72" s="7"/>
      <c r="L72" s="14"/>
      <c r="M72" s="14"/>
      <c r="N72" s="14"/>
      <c r="P72" s="5"/>
    </row>
    <row r="73" spans="2:16" ht="26.4" customHeight="1" thickBot="1" x14ac:dyDescent="0.3">
      <c r="B73" s="77" t="s">
        <v>55</v>
      </c>
      <c r="C73" s="78"/>
      <c r="D73" s="79"/>
      <c r="E73" s="80"/>
      <c r="F73" s="11"/>
      <c r="G73" s="11"/>
      <c r="H73" s="10"/>
      <c r="I73" s="6"/>
      <c r="J73" s="7"/>
      <c r="K73" s="7"/>
      <c r="L73" s="14"/>
      <c r="M73" s="14"/>
      <c r="N73" s="14"/>
    </row>
    <row r="74" spans="2:16" ht="26.4" customHeight="1" thickBot="1" x14ac:dyDescent="0.3">
      <c r="B74" s="12"/>
      <c r="C74" s="13"/>
      <c r="D74" s="13"/>
      <c r="E74" s="13"/>
      <c r="F74" s="13"/>
      <c r="G74" s="13"/>
      <c r="H74" s="13"/>
      <c r="I74" s="6"/>
      <c r="J74" s="14"/>
      <c r="K74" s="14"/>
    </row>
    <row r="75" spans="2:16" ht="26.4" customHeight="1" thickBot="1" x14ac:dyDescent="0.3">
      <c r="B75" s="467" t="s">
        <v>226</v>
      </c>
      <c r="C75" s="472"/>
      <c r="D75" s="468"/>
      <c r="E75" s="396">
        <f>ROUND(E61/7,2)</f>
        <v>0</v>
      </c>
      <c r="H75" s="7"/>
    </row>
    <row r="76" spans="2:16" ht="26.4" customHeight="1" thickBot="1" x14ac:dyDescent="0.3">
      <c r="B76" s="37"/>
      <c r="C76" s="30"/>
      <c r="D76" s="30"/>
      <c r="E76" s="6"/>
      <c r="H76" s="7"/>
    </row>
    <row r="77" spans="2:16" ht="26.4" customHeight="1" thickBot="1" x14ac:dyDescent="0.3">
      <c r="B77" s="467" t="s">
        <v>297</v>
      </c>
      <c r="C77" s="468"/>
      <c r="D77" s="81"/>
      <c r="E77" s="397">
        <f>IF(F77="",ROUND(D61/60/7*G77,4),ROUND(D61/60/7*F77,4))</f>
        <v>0</v>
      </c>
      <c r="F77" s="394"/>
      <c r="G77" s="393">
        <v>0.14050000000000001</v>
      </c>
      <c r="H77" s="7"/>
    </row>
    <row r="78" spans="2:16" ht="26.4" customHeight="1" thickBot="1" x14ac:dyDescent="0.3">
      <c r="B78" s="467" t="s">
        <v>298</v>
      </c>
      <c r="C78" s="468"/>
      <c r="D78" s="81"/>
      <c r="E78" s="398">
        <f>IF(F78="",ROUND(E61/60/7*G78,4),ROUND(E61/60/7*F78,4))</f>
        <v>0</v>
      </c>
      <c r="F78" s="395"/>
      <c r="G78" s="393">
        <v>0.13420000000000001</v>
      </c>
      <c r="H78" s="7"/>
    </row>
    <row r="79" spans="2:16" ht="26.4" customHeight="1" x14ac:dyDescent="0.25">
      <c r="B79" s="37"/>
      <c r="C79" s="30"/>
      <c r="D79" s="30"/>
      <c r="E79" s="6"/>
      <c r="H79" s="7"/>
    </row>
    <row r="80" spans="2:16" ht="26.4" customHeight="1" x14ac:dyDescent="0.25">
      <c r="B80" s="464" t="s">
        <v>37</v>
      </c>
      <c r="C80" s="464"/>
      <c r="D80" s="464"/>
      <c r="E80" s="464"/>
      <c r="F80" s="29"/>
      <c r="G80" s="29"/>
      <c r="H80" s="29"/>
    </row>
    <row r="81" spans="2:8" ht="26.4" customHeight="1" x14ac:dyDescent="0.25">
      <c r="B81" s="7" t="str">
        <f>""&amp;D7&amp;", den"</f>
        <v>, den</v>
      </c>
      <c r="C81" s="269">
        <v>45804</v>
      </c>
      <c r="D81" s="70"/>
      <c r="E81" s="7"/>
      <c r="F81" s="70"/>
      <c r="G81" s="70"/>
      <c r="H81" s="7"/>
    </row>
    <row r="82" spans="2:8" ht="26.4" customHeight="1" x14ac:dyDescent="0.25">
      <c r="B82" s="7"/>
      <c r="C82" s="30" t="s">
        <v>306</v>
      </c>
      <c r="D82" s="70"/>
      <c r="E82" s="7"/>
      <c r="F82" s="70"/>
      <c r="G82" s="70"/>
      <c r="H82" s="7"/>
    </row>
    <row r="83" spans="2:8" ht="26.4" customHeight="1" x14ac:dyDescent="0.25">
      <c r="B83" s="463"/>
      <c r="C83" s="463"/>
      <c r="D83" s="30"/>
      <c r="E83" s="30"/>
      <c r="F83" s="30"/>
      <c r="G83" s="30"/>
      <c r="H83" s="30"/>
    </row>
    <row r="84" spans="2:8" x14ac:dyDescent="0.25">
      <c r="B84" s="1" t="s">
        <v>62</v>
      </c>
    </row>
  </sheetData>
  <sheetProtection algorithmName="SHA-512" hashValue="cNMi1RIy7Kcaec7n8Ro5+yr9zTAh5+ORnvMX9G7CBNdegLYH85W9onawkHJmC5Z+rTULgcn+beSs4FIrlN8aGw==" saltValue="MyROx4GnhLVZHNwIwGbcZg==" spinCount="100000" sheet="1" objects="1" scenarios="1" formatCells="0"/>
  <mergeCells count="61">
    <mergeCell ref="F1:G1"/>
    <mergeCell ref="G27:H27"/>
    <mergeCell ref="B75:D75"/>
    <mergeCell ref="G17:H17"/>
    <mergeCell ref="G16:H16"/>
    <mergeCell ref="G26:H26"/>
    <mergeCell ref="G36:H36"/>
    <mergeCell ref="G37:H37"/>
    <mergeCell ref="G45:H45"/>
    <mergeCell ref="A1:E1"/>
    <mergeCell ref="A2:E2"/>
    <mergeCell ref="C4:E4"/>
    <mergeCell ref="C5:E5"/>
    <mergeCell ref="C6:E6"/>
    <mergeCell ref="C8:E8"/>
    <mergeCell ref="C9:E9"/>
    <mergeCell ref="B83:C83"/>
    <mergeCell ref="B80:E80"/>
    <mergeCell ref="D19:E19"/>
    <mergeCell ref="D20:E20"/>
    <mergeCell ref="D21:E21"/>
    <mergeCell ref="D22:E22"/>
    <mergeCell ref="B77:C77"/>
    <mergeCell ref="B78:C78"/>
    <mergeCell ref="C25:E25"/>
    <mergeCell ref="B3:E3"/>
    <mergeCell ref="G29:H29"/>
    <mergeCell ref="F25:H25"/>
    <mergeCell ref="C24:H24"/>
    <mergeCell ref="G28:H28"/>
    <mergeCell ref="G44:H44"/>
    <mergeCell ref="C10:E10"/>
    <mergeCell ref="C11:E11"/>
    <mergeCell ref="C12:E12"/>
    <mergeCell ref="G30:H30"/>
    <mergeCell ref="J51:K51"/>
    <mergeCell ref="J52:K52"/>
    <mergeCell ref="G58:H58"/>
    <mergeCell ref="G55:H55"/>
    <mergeCell ref="G56:H56"/>
    <mergeCell ref="G57:H57"/>
    <mergeCell ref="G53:H53"/>
    <mergeCell ref="G54:H54"/>
    <mergeCell ref="G51:H51"/>
    <mergeCell ref="G52:H52"/>
    <mergeCell ref="G48:H48"/>
    <mergeCell ref="G49:H49"/>
    <mergeCell ref="G31:H31"/>
    <mergeCell ref="G50:H50"/>
    <mergeCell ref="G47:H47"/>
    <mergeCell ref="G38:H38"/>
    <mergeCell ref="G39:H39"/>
    <mergeCell ref="G40:H40"/>
    <mergeCell ref="G41:H41"/>
    <mergeCell ref="G42:H42"/>
    <mergeCell ref="G46:H46"/>
    <mergeCell ref="G32:H32"/>
    <mergeCell ref="G33:H33"/>
    <mergeCell ref="G34:H34"/>
    <mergeCell ref="G35:H35"/>
    <mergeCell ref="G43:H43"/>
  </mergeCells>
  <dataValidations disablePrompts="1" xWindow="893" yWindow="795" count="1">
    <dataValidation type="time" operator="greaterThan" allowBlank="1" showInputMessage="1" showErrorMessage="1" errorTitle="Wert muss &gt;17:30 sein" error="Wert muss &gt;17:30 sein" promptTitle="Wert muss &gt;17:30 sein" prompt="Wert muss &gt;17:30 sein" sqref="F73:G73" xr:uid="{00000000-0002-0000-0000-000000000000}">
      <formula1>0.729166666666667</formula1>
    </dataValidation>
  </dataValidations>
  <pageMargins left="0.7" right="0.7" top="0.78740157499999996" bottom="0.78740157499999996" header="0.3" footer="0.3"/>
  <pageSetup paperSize="9" scale="73" orientation="landscape" r:id="rId1"/>
  <headerFooter>
    <oddFooter>&amp;L&amp;"Arial,Standard"&amp;8Datum des Ausdrucks
&amp;D&amp;C&amp;"Arial,Standard"&amp;8Kalkulationsdatei Assistenzleistungen 
Rahmenvertrag 3 Version 1.0&amp;R&amp;"Arial,Standard"&amp;8Kalkulationsblatt
 Seite &amp;P von &amp;N</oddFooter>
  </headerFooter>
  <rowBreaks count="3" manualBreakCount="3">
    <brk id="23" max="16383" man="1"/>
    <brk id="42" max="16383" man="1"/>
    <brk id="59" max="16383" man="1"/>
  </rowBreaks>
  <colBreaks count="1" manualBreakCount="1">
    <brk id="8" max="1048575"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W68"/>
  <sheetViews>
    <sheetView showGridLines="0" zoomScale="87" zoomScaleNormal="87" zoomScalePageLayoutView="96" workbookViewId="0">
      <pane ySplit="6" topLeftCell="A7" activePane="bottomLeft" state="frozen"/>
      <selection pane="bottomLeft" activeCell="G7" sqref="G7"/>
    </sheetView>
  </sheetViews>
  <sheetFormatPr baseColWidth="10" defaultColWidth="11.44140625" defaultRowHeight="13.8" x14ac:dyDescent="0.25"/>
  <cols>
    <col min="1" max="1" width="6.5546875" style="60" customWidth="1"/>
    <col min="2" max="2" width="11.44140625" style="60"/>
    <col min="3" max="3" width="15.44140625" style="60" customWidth="1"/>
    <col min="4" max="16384" width="11.44140625" style="60"/>
  </cols>
  <sheetData>
    <row r="1" spans="1:23" x14ac:dyDescent="0.25">
      <c r="C1" s="3"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row>
    <row r="3" spans="1:23" ht="16.5" customHeight="1" thickBot="1" x14ac:dyDescent="0.3">
      <c r="A3" s="409"/>
      <c r="B3" s="525" t="s">
        <v>27</v>
      </c>
      <c r="C3" s="525"/>
      <c r="D3" s="525"/>
      <c r="E3" s="533"/>
      <c r="F3" s="533"/>
      <c r="G3" s="533"/>
      <c r="H3" s="533"/>
      <c r="I3" s="533"/>
      <c r="J3" s="533"/>
      <c r="K3" s="533"/>
      <c r="L3" s="533"/>
      <c r="M3" s="533"/>
      <c r="N3" s="533"/>
      <c r="O3" s="533"/>
      <c r="P3" s="533"/>
      <c r="Q3" s="525"/>
      <c r="R3" s="525"/>
      <c r="S3" s="525"/>
    </row>
    <row r="4" spans="1:23" x14ac:dyDescent="0.25">
      <c r="A4" s="535" t="s">
        <v>16</v>
      </c>
      <c r="B4" s="535" t="s">
        <v>17</v>
      </c>
      <c r="C4" s="537"/>
      <c r="D4" s="538" t="s">
        <v>252</v>
      </c>
      <c r="E4" s="540" t="s">
        <v>20</v>
      </c>
      <c r="F4" s="541"/>
      <c r="G4" s="542"/>
      <c r="H4" s="543"/>
      <c r="I4" s="544" t="s">
        <v>21</v>
      </c>
      <c r="J4" s="545"/>
      <c r="K4" s="545"/>
      <c r="L4" s="546"/>
      <c r="M4" s="548" t="s">
        <v>22</v>
      </c>
      <c r="N4" s="525"/>
      <c r="O4" s="525"/>
      <c r="P4" s="525"/>
      <c r="Q4" s="422"/>
      <c r="R4" s="132"/>
      <c r="S4" s="132"/>
      <c r="U4" s="547" t="s">
        <v>138</v>
      </c>
      <c r="V4" s="547"/>
    </row>
    <row r="5" spans="1:23" ht="39.6" x14ac:dyDescent="0.25">
      <c r="A5" s="535"/>
      <c r="B5" s="535"/>
      <c r="C5" s="537"/>
      <c r="D5" s="538"/>
      <c r="E5" s="406" t="s">
        <v>246</v>
      </c>
      <c r="F5" s="404" t="s">
        <v>247</v>
      </c>
      <c r="G5" s="535" t="s">
        <v>23</v>
      </c>
      <c r="H5" s="549"/>
      <c r="I5" s="236" t="s">
        <v>246</v>
      </c>
      <c r="J5" s="405" t="s">
        <v>247</v>
      </c>
      <c r="K5" s="550" t="s">
        <v>23</v>
      </c>
      <c r="L5" s="551"/>
      <c r="M5" s="552" t="s">
        <v>248</v>
      </c>
      <c r="N5" s="535"/>
      <c r="O5" s="535" t="s">
        <v>249</v>
      </c>
      <c r="P5" s="535"/>
      <c r="Q5" s="531" t="s">
        <v>24</v>
      </c>
      <c r="R5" s="532"/>
      <c r="S5" s="532"/>
      <c r="U5" s="452" t="s">
        <v>137</v>
      </c>
      <c r="V5" s="452"/>
    </row>
    <row r="6" spans="1:23" ht="40.200000000000003" thickBot="1" x14ac:dyDescent="0.3">
      <c r="A6" s="536"/>
      <c r="B6" s="536"/>
      <c r="C6" s="537"/>
      <c r="D6" s="539"/>
      <c r="E6" s="231">
        <v>1</v>
      </c>
      <c r="F6" s="26">
        <v>3360</v>
      </c>
      <c r="G6" s="27" t="s">
        <v>250</v>
      </c>
      <c r="H6" s="232" t="s">
        <v>251</v>
      </c>
      <c r="I6" s="237">
        <v>1</v>
      </c>
      <c r="J6" s="238">
        <v>840</v>
      </c>
      <c r="K6" s="239" t="s">
        <v>250</v>
      </c>
      <c r="L6" s="240" t="s">
        <v>251</v>
      </c>
      <c r="M6" s="420" t="s">
        <v>250</v>
      </c>
      <c r="N6" s="404" t="s">
        <v>251</v>
      </c>
      <c r="O6" s="404" t="s">
        <v>250</v>
      </c>
      <c r="P6" s="404" t="s">
        <v>251</v>
      </c>
      <c r="Q6" s="420" t="s">
        <v>228</v>
      </c>
      <c r="R6" s="404" t="s">
        <v>251</v>
      </c>
      <c r="S6" s="412" t="s">
        <v>26</v>
      </c>
      <c r="U6" s="415" t="s">
        <v>250</v>
      </c>
      <c r="V6" s="415" t="s">
        <v>251</v>
      </c>
    </row>
    <row r="7" spans="1:23" x14ac:dyDescent="0.25">
      <c r="A7" s="410">
        <v>1</v>
      </c>
      <c r="B7" s="523" t="str">
        <f>IF('Liste besondere Wohnformen'!B6="","",'Liste besondere Wohnformen'!B6)</f>
        <v/>
      </c>
      <c r="C7" s="534"/>
      <c r="D7" s="416" t="str">
        <f>IF('Liste besondere Wohnformen'!C6="","",'Liste besondere Wohnformen'!C6)</f>
        <v/>
      </c>
      <c r="E7" s="438"/>
      <c r="F7" s="439" t="str">
        <f t="shared" ref="F7:F31" si="0">IF(E7="","",ROUND(E7*$F$6,0))</f>
        <v/>
      </c>
      <c r="G7" s="440"/>
      <c r="H7" s="441" t="str">
        <f t="shared" ref="H7:H31" si="1">IF(E7="","",F7-G7)</f>
        <v/>
      </c>
      <c r="I7" s="438"/>
      <c r="J7" s="439" t="str">
        <f t="shared" ref="J7:J31" si="2">IF(I7="","",ROUND(I7*$J$6,0))</f>
        <v/>
      </c>
      <c r="K7" s="440"/>
      <c r="L7" s="441" t="str">
        <f t="shared" ref="L7:L31" si="3">IF(I7="","",J7-K7)</f>
        <v/>
      </c>
      <c r="M7" s="421" t="str">
        <f t="shared" ref="M7:M31" si="4">IF(D7="","",G7+K7)</f>
        <v/>
      </c>
      <c r="N7" s="230" t="str">
        <f t="shared" ref="N7:N31" si="5">IF(D7="","",IF(H7="",L7,IF(L7="",H7,H7+L7)))</f>
        <v/>
      </c>
      <c r="O7" s="230" t="str">
        <f t="shared" ref="O7:O31" si="6">IF(D7="","",IF(M7=0,"",ROUND(M7/$D7,0)))</f>
        <v/>
      </c>
      <c r="P7" s="230" t="str">
        <f t="shared" ref="P7:P31" si="7">IF(D7="","",IF(N7=0,"",ROUND(N7/$D7,0)))</f>
        <v/>
      </c>
      <c r="Q7" s="423" t="str">
        <f t="shared" ref="Q7:Q46" si="8">IF(O7="","",O7*$U$8)</f>
        <v/>
      </c>
      <c r="R7" s="413" t="str">
        <f t="shared" ref="R7:R46" si="9">IF(P7="","",P7*$V$8)</f>
        <v/>
      </c>
      <c r="S7" s="414" t="str">
        <f t="shared" ref="S7:S13" si="10">IF(SUM(Q7:R7)=0,"",SUM(Q7:R7))</f>
        <v/>
      </c>
      <c r="U7" s="358"/>
      <c r="V7" s="408"/>
    </row>
    <row r="8" spans="1:23" x14ac:dyDescent="0.25">
      <c r="A8" s="410">
        <f t="shared" ref="A8:A46" si="11">A7+1</f>
        <v>2</v>
      </c>
      <c r="B8" s="523" t="str">
        <f>IF('Liste besondere Wohnformen'!B7="","",'Liste besondere Wohnformen'!B7)</f>
        <v/>
      </c>
      <c r="C8" s="534"/>
      <c r="D8" s="416" t="str">
        <f>IF('Liste besondere Wohnformen'!C7="","",'Liste besondere Wohnformen'!C7)</f>
        <v/>
      </c>
      <c r="E8" s="233"/>
      <c r="F8" s="230" t="str">
        <f t="shared" si="0"/>
        <v/>
      </c>
      <c r="G8" s="24"/>
      <c r="H8" s="417" t="str">
        <f t="shared" si="1"/>
        <v/>
      </c>
      <c r="I8" s="233"/>
      <c r="J8" s="230" t="str">
        <f t="shared" si="2"/>
        <v/>
      </c>
      <c r="K8" s="24"/>
      <c r="L8" s="417" t="str">
        <f t="shared" si="3"/>
        <v/>
      </c>
      <c r="M8" s="421" t="str">
        <f t="shared" si="4"/>
        <v/>
      </c>
      <c r="N8" s="230" t="str">
        <f t="shared" si="5"/>
        <v/>
      </c>
      <c r="O8" s="230" t="str">
        <f t="shared" si="6"/>
        <v/>
      </c>
      <c r="P8" s="230" t="str">
        <f t="shared" si="7"/>
        <v/>
      </c>
      <c r="Q8" s="423" t="str">
        <f t="shared" si="8"/>
        <v/>
      </c>
      <c r="R8" s="413" t="str">
        <f t="shared" si="9"/>
        <v/>
      </c>
      <c r="S8" s="414" t="str">
        <f t="shared" si="10"/>
        <v/>
      </c>
      <c r="U8" s="446">
        <f>IF(U7&gt;0,ROUND(U7/7/60,4),ROUND(Kalkulationsblatt!D61/7/60,4))</f>
        <v>0</v>
      </c>
      <c r="V8" s="446">
        <f>IF(V7&gt;0,ROUND(V7/7/60,4),ROUND(Kalkulationsblatt!E61/7/60,4))</f>
        <v>0</v>
      </c>
      <c r="W8" s="60" t="s">
        <v>307</v>
      </c>
    </row>
    <row r="9" spans="1:23" x14ac:dyDescent="0.25">
      <c r="A9" s="410">
        <f t="shared" si="11"/>
        <v>3</v>
      </c>
      <c r="B9" s="523" t="str">
        <f>IF('Liste besondere Wohnformen'!B8="","",'Liste besondere Wohnformen'!B8)</f>
        <v/>
      </c>
      <c r="C9" s="534"/>
      <c r="D9" s="416" t="str">
        <f>IF('Liste besondere Wohnformen'!C8="","",'Liste besondere Wohnformen'!C8)</f>
        <v/>
      </c>
      <c r="E9" s="233"/>
      <c r="F9" s="230" t="str">
        <f t="shared" si="0"/>
        <v/>
      </c>
      <c r="G9" s="24"/>
      <c r="H9" s="417" t="str">
        <f t="shared" si="1"/>
        <v/>
      </c>
      <c r="I9" s="233"/>
      <c r="J9" s="230" t="str">
        <f t="shared" si="2"/>
        <v/>
      </c>
      <c r="K9" s="24"/>
      <c r="L9" s="417" t="str">
        <f t="shared" si="3"/>
        <v/>
      </c>
      <c r="M9" s="421" t="str">
        <f t="shared" si="4"/>
        <v/>
      </c>
      <c r="N9" s="230" t="str">
        <f t="shared" si="5"/>
        <v/>
      </c>
      <c r="O9" s="230" t="str">
        <f t="shared" si="6"/>
        <v/>
      </c>
      <c r="P9" s="230" t="str">
        <f t="shared" si="7"/>
        <v/>
      </c>
      <c r="Q9" s="423" t="str">
        <f t="shared" si="8"/>
        <v/>
      </c>
      <c r="R9" s="413" t="str">
        <f t="shared" si="9"/>
        <v/>
      </c>
      <c r="S9" s="414" t="str">
        <f t="shared" si="10"/>
        <v/>
      </c>
    </row>
    <row r="10" spans="1:23" x14ac:dyDescent="0.25">
      <c r="A10" s="410">
        <f t="shared" si="11"/>
        <v>4</v>
      </c>
      <c r="B10" s="523" t="str">
        <f>IF('Liste besondere Wohnformen'!B9="","",'Liste besondere Wohnformen'!B9)</f>
        <v/>
      </c>
      <c r="C10" s="534"/>
      <c r="D10" s="416" t="str">
        <f>IF('Liste besondere Wohnformen'!C9="","",'Liste besondere Wohnformen'!C9)</f>
        <v/>
      </c>
      <c r="E10" s="233"/>
      <c r="F10" s="230" t="str">
        <f t="shared" si="0"/>
        <v/>
      </c>
      <c r="G10" s="24"/>
      <c r="H10" s="417" t="str">
        <f t="shared" si="1"/>
        <v/>
      </c>
      <c r="I10" s="233"/>
      <c r="J10" s="230" t="str">
        <f t="shared" si="2"/>
        <v/>
      </c>
      <c r="K10" s="24"/>
      <c r="L10" s="417" t="str">
        <f t="shared" si="3"/>
        <v/>
      </c>
      <c r="M10" s="421" t="str">
        <f t="shared" si="4"/>
        <v/>
      </c>
      <c r="N10" s="230" t="str">
        <f t="shared" si="5"/>
        <v/>
      </c>
      <c r="O10" s="230" t="str">
        <f t="shared" si="6"/>
        <v/>
      </c>
      <c r="P10" s="230" t="str">
        <f t="shared" si="7"/>
        <v/>
      </c>
      <c r="Q10" s="423" t="str">
        <f t="shared" si="8"/>
        <v/>
      </c>
      <c r="R10" s="413" t="str">
        <f t="shared" si="9"/>
        <v/>
      </c>
      <c r="S10" s="414" t="str">
        <f t="shared" si="10"/>
        <v/>
      </c>
    </row>
    <row r="11" spans="1:23" x14ac:dyDescent="0.25">
      <c r="A11" s="410">
        <f t="shared" si="11"/>
        <v>5</v>
      </c>
      <c r="B11" s="523" t="str">
        <f>IF('Liste besondere Wohnformen'!B10="","",'Liste besondere Wohnformen'!B10)</f>
        <v/>
      </c>
      <c r="C11" s="534"/>
      <c r="D11" s="416" t="str">
        <f>IF('Liste besondere Wohnformen'!C10="","",'Liste besondere Wohnformen'!C10)</f>
        <v/>
      </c>
      <c r="E11" s="233"/>
      <c r="F11" s="230" t="str">
        <f t="shared" si="0"/>
        <v/>
      </c>
      <c r="G11" s="24"/>
      <c r="H11" s="417" t="str">
        <f t="shared" si="1"/>
        <v/>
      </c>
      <c r="I11" s="233"/>
      <c r="J11" s="230" t="str">
        <f t="shared" si="2"/>
        <v/>
      </c>
      <c r="K11" s="24"/>
      <c r="L11" s="417" t="str">
        <f t="shared" si="3"/>
        <v/>
      </c>
      <c r="M11" s="421" t="str">
        <f t="shared" si="4"/>
        <v/>
      </c>
      <c r="N11" s="230" t="str">
        <f t="shared" si="5"/>
        <v/>
      </c>
      <c r="O11" s="230" t="str">
        <f t="shared" si="6"/>
        <v/>
      </c>
      <c r="P11" s="230" t="str">
        <f t="shared" si="7"/>
        <v/>
      </c>
      <c r="Q11" s="423" t="str">
        <f t="shared" si="8"/>
        <v/>
      </c>
      <c r="R11" s="413" t="str">
        <f t="shared" si="9"/>
        <v/>
      </c>
      <c r="S11" s="414" t="str">
        <f t="shared" si="10"/>
        <v/>
      </c>
    </row>
    <row r="12" spans="1:23" x14ac:dyDescent="0.25">
      <c r="A12" s="410">
        <f t="shared" si="11"/>
        <v>6</v>
      </c>
      <c r="B12" s="523" t="str">
        <f>IF('Liste besondere Wohnformen'!B11="","",'Liste besondere Wohnformen'!B11)</f>
        <v/>
      </c>
      <c r="C12" s="534"/>
      <c r="D12" s="416" t="str">
        <f>IF('Liste besondere Wohnformen'!C11="","",'Liste besondere Wohnformen'!C11)</f>
        <v/>
      </c>
      <c r="E12" s="233"/>
      <c r="F12" s="230" t="str">
        <f t="shared" si="0"/>
        <v/>
      </c>
      <c r="G12" s="24"/>
      <c r="H12" s="417" t="str">
        <f t="shared" si="1"/>
        <v/>
      </c>
      <c r="I12" s="233"/>
      <c r="J12" s="230" t="str">
        <f t="shared" si="2"/>
        <v/>
      </c>
      <c r="K12" s="24"/>
      <c r="L12" s="417" t="str">
        <f t="shared" si="3"/>
        <v/>
      </c>
      <c r="M12" s="421" t="str">
        <f t="shared" si="4"/>
        <v/>
      </c>
      <c r="N12" s="230" t="str">
        <f t="shared" si="5"/>
        <v/>
      </c>
      <c r="O12" s="230" t="str">
        <f t="shared" si="6"/>
        <v/>
      </c>
      <c r="P12" s="230" t="str">
        <f t="shared" si="7"/>
        <v/>
      </c>
      <c r="Q12" s="423" t="str">
        <f t="shared" si="8"/>
        <v/>
      </c>
      <c r="R12" s="413" t="str">
        <f t="shared" si="9"/>
        <v/>
      </c>
      <c r="S12" s="414" t="str">
        <f t="shared" si="10"/>
        <v/>
      </c>
    </row>
    <row r="13" spans="1:23" x14ac:dyDescent="0.25">
      <c r="A13" s="410">
        <f t="shared" si="11"/>
        <v>7</v>
      </c>
      <c r="B13" s="523" t="str">
        <f>IF('Liste besondere Wohnformen'!B12="","",'Liste besondere Wohnformen'!B12)</f>
        <v/>
      </c>
      <c r="C13" s="534"/>
      <c r="D13" s="416" t="str">
        <f>IF('Liste besondere Wohnformen'!C12="","",'Liste besondere Wohnformen'!C12)</f>
        <v/>
      </c>
      <c r="E13" s="233"/>
      <c r="F13" s="230" t="str">
        <f t="shared" si="0"/>
        <v/>
      </c>
      <c r="G13" s="24"/>
      <c r="H13" s="417" t="str">
        <f t="shared" si="1"/>
        <v/>
      </c>
      <c r="I13" s="233"/>
      <c r="J13" s="230" t="str">
        <f t="shared" si="2"/>
        <v/>
      </c>
      <c r="K13" s="24"/>
      <c r="L13" s="417" t="str">
        <f t="shared" si="3"/>
        <v/>
      </c>
      <c r="M13" s="421" t="str">
        <f t="shared" si="4"/>
        <v/>
      </c>
      <c r="N13" s="230" t="str">
        <f t="shared" si="5"/>
        <v/>
      </c>
      <c r="O13" s="230" t="str">
        <f t="shared" si="6"/>
        <v/>
      </c>
      <c r="P13" s="230" t="str">
        <f t="shared" si="7"/>
        <v/>
      </c>
      <c r="Q13" s="423" t="str">
        <f t="shared" si="8"/>
        <v/>
      </c>
      <c r="R13" s="413" t="str">
        <f t="shared" si="9"/>
        <v/>
      </c>
      <c r="S13" s="414" t="str">
        <f t="shared" si="10"/>
        <v/>
      </c>
    </row>
    <row r="14" spans="1:23" x14ac:dyDescent="0.25">
      <c r="A14" s="410">
        <f t="shared" si="11"/>
        <v>8</v>
      </c>
      <c r="B14" s="523" t="str">
        <f>IF('Liste besondere Wohnformen'!B13="","",'Liste besondere Wohnformen'!B13)</f>
        <v/>
      </c>
      <c r="C14" s="534"/>
      <c r="D14" s="416" t="str">
        <f>IF('Liste besondere Wohnformen'!C13="","",'Liste besondere Wohnformen'!C13)</f>
        <v/>
      </c>
      <c r="E14" s="233"/>
      <c r="F14" s="230" t="str">
        <f t="shared" si="0"/>
        <v/>
      </c>
      <c r="G14" s="24"/>
      <c r="H14" s="417" t="str">
        <f t="shared" si="1"/>
        <v/>
      </c>
      <c r="I14" s="233"/>
      <c r="J14" s="230" t="str">
        <f t="shared" si="2"/>
        <v/>
      </c>
      <c r="K14" s="24"/>
      <c r="L14" s="417" t="str">
        <f t="shared" si="3"/>
        <v/>
      </c>
      <c r="M14" s="421" t="str">
        <f t="shared" si="4"/>
        <v/>
      </c>
      <c r="N14" s="230" t="str">
        <f t="shared" si="5"/>
        <v/>
      </c>
      <c r="O14" s="230" t="str">
        <f t="shared" si="6"/>
        <v/>
      </c>
      <c r="P14" s="230" t="str">
        <f t="shared" si="7"/>
        <v/>
      </c>
      <c r="Q14" s="423" t="str">
        <f t="shared" si="8"/>
        <v/>
      </c>
      <c r="R14" s="413" t="str">
        <f t="shared" si="9"/>
        <v/>
      </c>
      <c r="S14" s="414" t="str">
        <f t="shared" ref="S14:S31" si="12">IF(SUM(Q14:R14)=0,"",SUM(Q14:R14))</f>
        <v/>
      </c>
    </row>
    <row r="15" spans="1:23" x14ac:dyDescent="0.25">
      <c r="A15" s="410">
        <f t="shared" si="11"/>
        <v>9</v>
      </c>
      <c r="B15" s="523" t="str">
        <f>IF('Liste besondere Wohnformen'!B14="","",'Liste besondere Wohnformen'!B14)</f>
        <v/>
      </c>
      <c r="C15" s="534"/>
      <c r="D15" s="416" t="str">
        <f>IF('Liste besondere Wohnformen'!C14="","",'Liste besondere Wohnformen'!C14)</f>
        <v/>
      </c>
      <c r="E15" s="233"/>
      <c r="F15" s="230" t="str">
        <f t="shared" si="0"/>
        <v/>
      </c>
      <c r="G15" s="24"/>
      <c r="H15" s="417" t="str">
        <f t="shared" si="1"/>
        <v/>
      </c>
      <c r="I15" s="233"/>
      <c r="J15" s="230" t="str">
        <f t="shared" si="2"/>
        <v/>
      </c>
      <c r="K15" s="24"/>
      <c r="L15" s="417" t="str">
        <f t="shared" si="3"/>
        <v/>
      </c>
      <c r="M15" s="421" t="str">
        <f t="shared" si="4"/>
        <v/>
      </c>
      <c r="N15" s="230" t="str">
        <f t="shared" si="5"/>
        <v/>
      </c>
      <c r="O15" s="230" t="str">
        <f t="shared" si="6"/>
        <v/>
      </c>
      <c r="P15" s="230" t="str">
        <f t="shared" si="7"/>
        <v/>
      </c>
      <c r="Q15" s="423" t="str">
        <f t="shared" si="8"/>
        <v/>
      </c>
      <c r="R15" s="413" t="str">
        <f t="shared" si="9"/>
        <v/>
      </c>
      <c r="S15" s="414" t="str">
        <f t="shared" si="12"/>
        <v/>
      </c>
    </row>
    <row r="16" spans="1:23" x14ac:dyDescent="0.25">
      <c r="A16" s="410">
        <f t="shared" si="11"/>
        <v>10</v>
      </c>
      <c r="B16" s="523" t="str">
        <f>IF('Liste besondere Wohnformen'!B15="","",'Liste besondere Wohnformen'!B15)</f>
        <v/>
      </c>
      <c r="C16" s="534"/>
      <c r="D16" s="416" t="str">
        <f>IF('Liste besondere Wohnformen'!C15="","",'Liste besondere Wohnformen'!C15)</f>
        <v/>
      </c>
      <c r="E16" s="233"/>
      <c r="F16" s="230" t="str">
        <f t="shared" si="0"/>
        <v/>
      </c>
      <c r="G16" s="24"/>
      <c r="H16" s="417" t="str">
        <f t="shared" si="1"/>
        <v/>
      </c>
      <c r="I16" s="233"/>
      <c r="J16" s="230" t="str">
        <f t="shared" si="2"/>
        <v/>
      </c>
      <c r="K16" s="24"/>
      <c r="L16" s="417" t="str">
        <f t="shared" si="3"/>
        <v/>
      </c>
      <c r="M16" s="421" t="str">
        <f t="shared" si="4"/>
        <v/>
      </c>
      <c r="N16" s="230" t="str">
        <f t="shared" si="5"/>
        <v/>
      </c>
      <c r="O16" s="230" t="str">
        <f t="shared" si="6"/>
        <v/>
      </c>
      <c r="P16" s="230" t="str">
        <f t="shared" si="7"/>
        <v/>
      </c>
      <c r="Q16" s="423" t="str">
        <f t="shared" si="8"/>
        <v/>
      </c>
      <c r="R16" s="413" t="str">
        <f t="shared" si="9"/>
        <v/>
      </c>
      <c r="S16" s="414" t="str">
        <f t="shared" si="12"/>
        <v/>
      </c>
    </row>
    <row r="17" spans="1:19" x14ac:dyDescent="0.25">
      <c r="A17" s="410">
        <f t="shared" si="11"/>
        <v>11</v>
      </c>
      <c r="B17" s="523" t="str">
        <f>IF('Liste besondere Wohnformen'!B16="","",'Liste besondere Wohnformen'!B16)</f>
        <v/>
      </c>
      <c r="C17" s="534"/>
      <c r="D17" s="416" t="str">
        <f>IF('Liste besondere Wohnformen'!C16="","",'Liste besondere Wohnformen'!C16)</f>
        <v/>
      </c>
      <c r="E17" s="233"/>
      <c r="F17" s="230" t="str">
        <f t="shared" si="0"/>
        <v/>
      </c>
      <c r="G17" s="24"/>
      <c r="H17" s="417" t="str">
        <f t="shared" si="1"/>
        <v/>
      </c>
      <c r="I17" s="233"/>
      <c r="J17" s="230" t="str">
        <f t="shared" si="2"/>
        <v/>
      </c>
      <c r="K17" s="24"/>
      <c r="L17" s="417" t="str">
        <f t="shared" si="3"/>
        <v/>
      </c>
      <c r="M17" s="421" t="str">
        <f t="shared" si="4"/>
        <v/>
      </c>
      <c r="N17" s="230" t="str">
        <f t="shared" si="5"/>
        <v/>
      </c>
      <c r="O17" s="230" t="str">
        <f t="shared" si="6"/>
        <v/>
      </c>
      <c r="P17" s="230" t="str">
        <f t="shared" si="7"/>
        <v/>
      </c>
      <c r="Q17" s="423" t="str">
        <f t="shared" si="8"/>
        <v/>
      </c>
      <c r="R17" s="413" t="str">
        <f t="shared" si="9"/>
        <v/>
      </c>
      <c r="S17" s="414" t="str">
        <f t="shared" si="12"/>
        <v/>
      </c>
    </row>
    <row r="18" spans="1:19" x14ac:dyDescent="0.25">
      <c r="A18" s="410">
        <f t="shared" si="11"/>
        <v>12</v>
      </c>
      <c r="B18" s="523" t="str">
        <f>IF('Liste besondere Wohnformen'!B17="","",'Liste besondere Wohnformen'!B17)</f>
        <v/>
      </c>
      <c r="C18" s="534"/>
      <c r="D18" s="416" t="str">
        <f>IF('Liste besondere Wohnformen'!C17="","",'Liste besondere Wohnformen'!C17)</f>
        <v/>
      </c>
      <c r="E18" s="233"/>
      <c r="F18" s="230" t="str">
        <f t="shared" si="0"/>
        <v/>
      </c>
      <c r="G18" s="24"/>
      <c r="H18" s="417" t="str">
        <f t="shared" si="1"/>
        <v/>
      </c>
      <c r="I18" s="233"/>
      <c r="J18" s="230" t="str">
        <f t="shared" si="2"/>
        <v/>
      </c>
      <c r="K18" s="24"/>
      <c r="L18" s="417" t="str">
        <f t="shared" si="3"/>
        <v/>
      </c>
      <c r="M18" s="421" t="str">
        <f t="shared" si="4"/>
        <v/>
      </c>
      <c r="N18" s="230" t="str">
        <f t="shared" si="5"/>
        <v/>
      </c>
      <c r="O18" s="230" t="str">
        <f t="shared" si="6"/>
        <v/>
      </c>
      <c r="P18" s="230" t="str">
        <f t="shared" si="7"/>
        <v/>
      </c>
      <c r="Q18" s="423" t="str">
        <f t="shared" si="8"/>
        <v/>
      </c>
      <c r="R18" s="413" t="str">
        <f t="shared" si="9"/>
        <v/>
      </c>
      <c r="S18" s="414" t="str">
        <f t="shared" si="12"/>
        <v/>
      </c>
    </row>
    <row r="19" spans="1:19" x14ac:dyDescent="0.25">
      <c r="A19" s="410">
        <f t="shared" si="11"/>
        <v>13</v>
      </c>
      <c r="B19" s="523" t="str">
        <f>IF('Liste besondere Wohnformen'!B18="","",'Liste besondere Wohnformen'!B18)</f>
        <v/>
      </c>
      <c r="C19" s="534"/>
      <c r="D19" s="416" t="str">
        <f>IF('Liste besondere Wohnformen'!C18="","",'Liste besondere Wohnformen'!C18)</f>
        <v/>
      </c>
      <c r="E19" s="233"/>
      <c r="F19" s="230" t="str">
        <f t="shared" si="0"/>
        <v/>
      </c>
      <c r="G19" s="24"/>
      <c r="H19" s="417" t="str">
        <f t="shared" si="1"/>
        <v/>
      </c>
      <c r="I19" s="233"/>
      <c r="J19" s="230" t="str">
        <f t="shared" si="2"/>
        <v/>
      </c>
      <c r="K19" s="24"/>
      <c r="L19" s="417" t="str">
        <f t="shared" si="3"/>
        <v/>
      </c>
      <c r="M19" s="421" t="str">
        <f t="shared" si="4"/>
        <v/>
      </c>
      <c r="N19" s="230" t="str">
        <f t="shared" si="5"/>
        <v/>
      </c>
      <c r="O19" s="230" t="str">
        <f t="shared" si="6"/>
        <v/>
      </c>
      <c r="P19" s="230" t="str">
        <f t="shared" si="7"/>
        <v/>
      </c>
      <c r="Q19" s="423" t="str">
        <f t="shared" si="8"/>
        <v/>
      </c>
      <c r="R19" s="413" t="str">
        <f t="shared" si="9"/>
        <v/>
      </c>
      <c r="S19" s="414" t="str">
        <f t="shared" si="12"/>
        <v/>
      </c>
    </row>
    <row r="20" spans="1:19" x14ac:dyDescent="0.25">
      <c r="A20" s="410">
        <f t="shared" si="11"/>
        <v>14</v>
      </c>
      <c r="B20" s="523" t="str">
        <f>IF('Liste besondere Wohnformen'!B19="","",'Liste besondere Wohnformen'!B19)</f>
        <v/>
      </c>
      <c r="C20" s="534"/>
      <c r="D20" s="416" t="str">
        <f>IF('Liste besondere Wohnformen'!C19="","",'Liste besondere Wohnformen'!C19)</f>
        <v/>
      </c>
      <c r="E20" s="233"/>
      <c r="F20" s="230" t="str">
        <f t="shared" si="0"/>
        <v/>
      </c>
      <c r="G20" s="24"/>
      <c r="H20" s="417" t="str">
        <f t="shared" si="1"/>
        <v/>
      </c>
      <c r="I20" s="233"/>
      <c r="J20" s="230" t="str">
        <f t="shared" si="2"/>
        <v/>
      </c>
      <c r="K20" s="24"/>
      <c r="L20" s="417" t="str">
        <f t="shared" si="3"/>
        <v/>
      </c>
      <c r="M20" s="421" t="str">
        <f t="shared" si="4"/>
        <v/>
      </c>
      <c r="N20" s="230" t="str">
        <f t="shared" si="5"/>
        <v/>
      </c>
      <c r="O20" s="230" t="str">
        <f t="shared" si="6"/>
        <v/>
      </c>
      <c r="P20" s="230" t="str">
        <f t="shared" si="7"/>
        <v/>
      </c>
      <c r="Q20" s="423" t="str">
        <f t="shared" si="8"/>
        <v/>
      </c>
      <c r="R20" s="413" t="str">
        <f t="shared" si="9"/>
        <v/>
      </c>
      <c r="S20" s="414" t="str">
        <f t="shared" si="12"/>
        <v/>
      </c>
    </row>
    <row r="21" spans="1:19" x14ac:dyDescent="0.25">
      <c r="A21" s="410">
        <f t="shared" si="11"/>
        <v>15</v>
      </c>
      <c r="B21" s="523" t="str">
        <f>IF('Liste besondere Wohnformen'!B20="","",'Liste besondere Wohnformen'!B20)</f>
        <v/>
      </c>
      <c r="C21" s="534"/>
      <c r="D21" s="416" t="str">
        <f>IF('Liste besondere Wohnformen'!C20="","",'Liste besondere Wohnformen'!C20)</f>
        <v/>
      </c>
      <c r="E21" s="233"/>
      <c r="F21" s="230" t="str">
        <f t="shared" si="0"/>
        <v/>
      </c>
      <c r="G21" s="24"/>
      <c r="H21" s="417" t="str">
        <f t="shared" si="1"/>
        <v/>
      </c>
      <c r="I21" s="233"/>
      <c r="J21" s="230" t="str">
        <f t="shared" si="2"/>
        <v/>
      </c>
      <c r="K21" s="24"/>
      <c r="L21" s="417" t="str">
        <f t="shared" si="3"/>
        <v/>
      </c>
      <c r="M21" s="421" t="str">
        <f t="shared" si="4"/>
        <v/>
      </c>
      <c r="N21" s="230" t="str">
        <f t="shared" si="5"/>
        <v/>
      </c>
      <c r="O21" s="230" t="str">
        <f t="shared" si="6"/>
        <v/>
      </c>
      <c r="P21" s="230" t="str">
        <f t="shared" si="7"/>
        <v/>
      </c>
      <c r="Q21" s="423" t="str">
        <f t="shared" si="8"/>
        <v/>
      </c>
      <c r="R21" s="413" t="str">
        <f t="shared" si="9"/>
        <v/>
      </c>
      <c r="S21" s="414" t="str">
        <f t="shared" si="12"/>
        <v/>
      </c>
    </row>
    <row r="22" spans="1:19" x14ac:dyDescent="0.25">
      <c r="A22" s="410">
        <f t="shared" si="11"/>
        <v>16</v>
      </c>
      <c r="B22" s="523" t="str">
        <f>IF('Liste besondere Wohnformen'!B21="","",'Liste besondere Wohnformen'!B21)</f>
        <v/>
      </c>
      <c r="C22" s="534"/>
      <c r="D22" s="416" t="str">
        <f>IF('Liste besondere Wohnformen'!C21="","",'Liste besondere Wohnformen'!C21)</f>
        <v/>
      </c>
      <c r="E22" s="233"/>
      <c r="F22" s="230" t="str">
        <f t="shared" si="0"/>
        <v/>
      </c>
      <c r="G22" s="24"/>
      <c r="H22" s="417" t="str">
        <f t="shared" si="1"/>
        <v/>
      </c>
      <c r="I22" s="233"/>
      <c r="J22" s="230" t="str">
        <f t="shared" si="2"/>
        <v/>
      </c>
      <c r="K22" s="24"/>
      <c r="L22" s="417" t="str">
        <f t="shared" si="3"/>
        <v/>
      </c>
      <c r="M22" s="421" t="str">
        <f t="shared" si="4"/>
        <v/>
      </c>
      <c r="N22" s="230" t="str">
        <f t="shared" si="5"/>
        <v/>
      </c>
      <c r="O22" s="230" t="str">
        <f t="shared" si="6"/>
        <v/>
      </c>
      <c r="P22" s="230" t="str">
        <f t="shared" si="7"/>
        <v/>
      </c>
      <c r="Q22" s="423" t="str">
        <f t="shared" si="8"/>
        <v/>
      </c>
      <c r="R22" s="413" t="str">
        <f t="shared" si="9"/>
        <v/>
      </c>
      <c r="S22" s="414" t="str">
        <f t="shared" si="12"/>
        <v/>
      </c>
    </row>
    <row r="23" spans="1:19" x14ac:dyDescent="0.25">
      <c r="A23" s="410">
        <f t="shared" si="11"/>
        <v>17</v>
      </c>
      <c r="B23" s="523" t="str">
        <f>IF('Liste besondere Wohnformen'!B22="","",'Liste besondere Wohnformen'!B22)</f>
        <v/>
      </c>
      <c r="C23" s="534"/>
      <c r="D23" s="416" t="str">
        <f>IF('Liste besondere Wohnformen'!C22="","",'Liste besondere Wohnformen'!C22)</f>
        <v/>
      </c>
      <c r="E23" s="233"/>
      <c r="F23" s="230" t="str">
        <f t="shared" si="0"/>
        <v/>
      </c>
      <c r="G23" s="24"/>
      <c r="H23" s="417" t="str">
        <f t="shared" si="1"/>
        <v/>
      </c>
      <c r="I23" s="233"/>
      <c r="J23" s="230" t="str">
        <f t="shared" si="2"/>
        <v/>
      </c>
      <c r="K23" s="24"/>
      <c r="L23" s="417" t="str">
        <f t="shared" si="3"/>
        <v/>
      </c>
      <c r="M23" s="421" t="str">
        <f t="shared" si="4"/>
        <v/>
      </c>
      <c r="N23" s="230" t="str">
        <f t="shared" si="5"/>
        <v/>
      </c>
      <c r="O23" s="230" t="str">
        <f t="shared" si="6"/>
        <v/>
      </c>
      <c r="P23" s="230" t="str">
        <f t="shared" si="7"/>
        <v/>
      </c>
      <c r="Q23" s="423" t="str">
        <f t="shared" si="8"/>
        <v/>
      </c>
      <c r="R23" s="413" t="str">
        <f t="shared" si="9"/>
        <v/>
      </c>
      <c r="S23" s="414" t="str">
        <f t="shared" si="12"/>
        <v/>
      </c>
    </row>
    <row r="24" spans="1:19" x14ac:dyDescent="0.25">
      <c r="A24" s="410">
        <f t="shared" si="11"/>
        <v>18</v>
      </c>
      <c r="B24" s="523" t="str">
        <f>IF('Liste besondere Wohnformen'!B23="","",'Liste besondere Wohnformen'!B23)</f>
        <v/>
      </c>
      <c r="C24" s="534"/>
      <c r="D24" s="416" t="str">
        <f>IF('Liste besondere Wohnformen'!C23="","",'Liste besondere Wohnformen'!C23)</f>
        <v/>
      </c>
      <c r="E24" s="233"/>
      <c r="F24" s="230" t="str">
        <f t="shared" si="0"/>
        <v/>
      </c>
      <c r="G24" s="24"/>
      <c r="H24" s="417" t="str">
        <f t="shared" si="1"/>
        <v/>
      </c>
      <c r="I24" s="233"/>
      <c r="J24" s="230" t="str">
        <f t="shared" si="2"/>
        <v/>
      </c>
      <c r="K24" s="24"/>
      <c r="L24" s="417" t="str">
        <f t="shared" si="3"/>
        <v/>
      </c>
      <c r="M24" s="421" t="str">
        <f t="shared" si="4"/>
        <v/>
      </c>
      <c r="N24" s="230" t="str">
        <f t="shared" si="5"/>
        <v/>
      </c>
      <c r="O24" s="230" t="str">
        <f t="shared" si="6"/>
        <v/>
      </c>
      <c r="P24" s="230" t="str">
        <f t="shared" si="7"/>
        <v/>
      </c>
      <c r="Q24" s="423" t="str">
        <f t="shared" si="8"/>
        <v/>
      </c>
      <c r="R24" s="413" t="str">
        <f t="shared" si="9"/>
        <v/>
      </c>
      <c r="S24" s="414" t="str">
        <f t="shared" si="12"/>
        <v/>
      </c>
    </row>
    <row r="25" spans="1:19" x14ac:dyDescent="0.25">
      <c r="A25" s="410">
        <f t="shared" si="11"/>
        <v>19</v>
      </c>
      <c r="B25" s="523" t="str">
        <f>IF('Liste besondere Wohnformen'!B24="","",'Liste besondere Wohnformen'!B24)</f>
        <v/>
      </c>
      <c r="C25" s="534"/>
      <c r="D25" s="416" t="str">
        <f>IF('Liste besondere Wohnformen'!C24="","",'Liste besondere Wohnformen'!C24)</f>
        <v/>
      </c>
      <c r="E25" s="233"/>
      <c r="F25" s="230" t="str">
        <f t="shared" si="0"/>
        <v/>
      </c>
      <c r="G25" s="24"/>
      <c r="H25" s="417" t="str">
        <f t="shared" si="1"/>
        <v/>
      </c>
      <c r="I25" s="233"/>
      <c r="J25" s="230" t="str">
        <f t="shared" si="2"/>
        <v/>
      </c>
      <c r="K25" s="24"/>
      <c r="L25" s="417" t="str">
        <f t="shared" si="3"/>
        <v/>
      </c>
      <c r="M25" s="421" t="str">
        <f t="shared" si="4"/>
        <v/>
      </c>
      <c r="N25" s="230" t="str">
        <f t="shared" si="5"/>
        <v/>
      </c>
      <c r="O25" s="230" t="str">
        <f t="shared" si="6"/>
        <v/>
      </c>
      <c r="P25" s="230" t="str">
        <f t="shared" si="7"/>
        <v/>
      </c>
      <c r="Q25" s="423" t="str">
        <f t="shared" si="8"/>
        <v/>
      </c>
      <c r="R25" s="413" t="str">
        <f t="shared" si="9"/>
        <v/>
      </c>
      <c r="S25" s="414" t="str">
        <f t="shared" si="12"/>
        <v/>
      </c>
    </row>
    <row r="26" spans="1:19" x14ac:dyDescent="0.25">
      <c r="A26" s="410">
        <f t="shared" si="11"/>
        <v>20</v>
      </c>
      <c r="B26" s="523" t="str">
        <f>IF('Liste besondere Wohnformen'!B25="","",'Liste besondere Wohnformen'!B25)</f>
        <v/>
      </c>
      <c r="C26" s="534"/>
      <c r="D26" s="416" t="str">
        <f>IF('Liste besondere Wohnformen'!C25="","",'Liste besondere Wohnformen'!C25)</f>
        <v/>
      </c>
      <c r="E26" s="233"/>
      <c r="F26" s="230" t="str">
        <f t="shared" si="0"/>
        <v/>
      </c>
      <c r="G26" s="24"/>
      <c r="H26" s="417" t="str">
        <f t="shared" si="1"/>
        <v/>
      </c>
      <c r="I26" s="233"/>
      <c r="J26" s="230" t="str">
        <f t="shared" si="2"/>
        <v/>
      </c>
      <c r="K26" s="24"/>
      <c r="L26" s="417" t="str">
        <f t="shared" si="3"/>
        <v/>
      </c>
      <c r="M26" s="421" t="str">
        <f t="shared" si="4"/>
        <v/>
      </c>
      <c r="N26" s="230" t="str">
        <f t="shared" si="5"/>
        <v/>
      </c>
      <c r="O26" s="230" t="str">
        <f t="shared" si="6"/>
        <v/>
      </c>
      <c r="P26" s="230" t="str">
        <f t="shared" si="7"/>
        <v/>
      </c>
      <c r="Q26" s="423" t="str">
        <f t="shared" si="8"/>
        <v/>
      </c>
      <c r="R26" s="413" t="str">
        <f t="shared" si="9"/>
        <v/>
      </c>
      <c r="S26" s="414" t="str">
        <f t="shared" si="12"/>
        <v/>
      </c>
    </row>
    <row r="27" spans="1:19" x14ac:dyDescent="0.25">
      <c r="A27" s="410">
        <f t="shared" si="11"/>
        <v>21</v>
      </c>
      <c r="B27" s="523" t="str">
        <f>IF('Liste besondere Wohnformen'!B26="","",'Liste besondere Wohnformen'!B26)</f>
        <v/>
      </c>
      <c r="C27" s="534"/>
      <c r="D27" s="416" t="str">
        <f>IF('Liste besondere Wohnformen'!C26="","",'Liste besondere Wohnformen'!C26)</f>
        <v/>
      </c>
      <c r="E27" s="233"/>
      <c r="F27" s="230" t="str">
        <f t="shared" si="0"/>
        <v/>
      </c>
      <c r="G27" s="24"/>
      <c r="H27" s="417" t="str">
        <f t="shared" si="1"/>
        <v/>
      </c>
      <c r="I27" s="233"/>
      <c r="J27" s="230" t="str">
        <f t="shared" si="2"/>
        <v/>
      </c>
      <c r="K27" s="24"/>
      <c r="L27" s="417" t="str">
        <f t="shared" si="3"/>
        <v/>
      </c>
      <c r="M27" s="421" t="str">
        <f t="shared" si="4"/>
        <v/>
      </c>
      <c r="N27" s="230" t="str">
        <f t="shared" si="5"/>
        <v/>
      </c>
      <c r="O27" s="230" t="str">
        <f t="shared" si="6"/>
        <v/>
      </c>
      <c r="P27" s="230" t="str">
        <f t="shared" si="7"/>
        <v/>
      </c>
      <c r="Q27" s="423" t="str">
        <f t="shared" si="8"/>
        <v/>
      </c>
      <c r="R27" s="413" t="str">
        <f t="shared" si="9"/>
        <v/>
      </c>
      <c r="S27" s="414" t="str">
        <f t="shared" si="12"/>
        <v/>
      </c>
    </row>
    <row r="28" spans="1:19" x14ac:dyDescent="0.25">
      <c r="A28" s="410">
        <f t="shared" si="11"/>
        <v>22</v>
      </c>
      <c r="B28" s="523" t="str">
        <f>IF('Liste besondere Wohnformen'!B27="","",'Liste besondere Wohnformen'!B27)</f>
        <v/>
      </c>
      <c r="C28" s="534"/>
      <c r="D28" s="416" t="str">
        <f>IF('Liste besondere Wohnformen'!C27="","",'Liste besondere Wohnformen'!C27)</f>
        <v/>
      </c>
      <c r="E28" s="233"/>
      <c r="F28" s="230" t="str">
        <f t="shared" si="0"/>
        <v/>
      </c>
      <c r="G28" s="24"/>
      <c r="H28" s="417" t="str">
        <f t="shared" si="1"/>
        <v/>
      </c>
      <c r="I28" s="233"/>
      <c r="J28" s="230" t="str">
        <f t="shared" si="2"/>
        <v/>
      </c>
      <c r="K28" s="24"/>
      <c r="L28" s="417" t="str">
        <f t="shared" si="3"/>
        <v/>
      </c>
      <c r="M28" s="421" t="str">
        <f t="shared" si="4"/>
        <v/>
      </c>
      <c r="N28" s="230" t="str">
        <f t="shared" si="5"/>
        <v/>
      </c>
      <c r="O28" s="230" t="str">
        <f t="shared" si="6"/>
        <v/>
      </c>
      <c r="P28" s="230" t="str">
        <f t="shared" si="7"/>
        <v/>
      </c>
      <c r="Q28" s="423" t="str">
        <f t="shared" si="8"/>
        <v/>
      </c>
      <c r="R28" s="413" t="str">
        <f t="shared" si="9"/>
        <v/>
      </c>
      <c r="S28" s="414" t="str">
        <f t="shared" si="12"/>
        <v/>
      </c>
    </row>
    <row r="29" spans="1:19" x14ac:dyDescent="0.25">
      <c r="A29" s="410">
        <f t="shared" si="11"/>
        <v>23</v>
      </c>
      <c r="B29" s="523" t="str">
        <f>IF('Liste besondere Wohnformen'!B28="","",'Liste besondere Wohnformen'!B28)</f>
        <v/>
      </c>
      <c r="C29" s="534"/>
      <c r="D29" s="416" t="str">
        <f>IF('Liste besondere Wohnformen'!C28="","",'Liste besondere Wohnformen'!C28)</f>
        <v/>
      </c>
      <c r="E29" s="233"/>
      <c r="F29" s="230" t="str">
        <f t="shared" si="0"/>
        <v/>
      </c>
      <c r="G29" s="24"/>
      <c r="H29" s="417" t="str">
        <f t="shared" si="1"/>
        <v/>
      </c>
      <c r="I29" s="233"/>
      <c r="J29" s="230" t="str">
        <f t="shared" si="2"/>
        <v/>
      </c>
      <c r="K29" s="24"/>
      <c r="L29" s="417" t="str">
        <f t="shared" si="3"/>
        <v/>
      </c>
      <c r="M29" s="421" t="str">
        <f t="shared" si="4"/>
        <v/>
      </c>
      <c r="N29" s="230" t="str">
        <f t="shared" si="5"/>
        <v/>
      </c>
      <c r="O29" s="230" t="str">
        <f t="shared" si="6"/>
        <v/>
      </c>
      <c r="P29" s="230" t="str">
        <f t="shared" si="7"/>
        <v/>
      </c>
      <c r="Q29" s="423" t="str">
        <f t="shared" si="8"/>
        <v/>
      </c>
      <c r="R29" s="413" t="str">
        <f t="shared" si="9"/>
        <v/>
      </c>
      <c r="S29" s="414" t="str">
        <f t="shared" si="12"/>
        <v/>
      </c>
    </row>
    <row r="30" spans="1:19" x14ac:dyDescent="0.25">
      <c r="A30" s="410">
        <f t="shared" si="11"/>
        <v>24</v>
      </c>
      <c r="B30" s="523" t="str">
        <f>IF('Liste besondere Wohnformen'!B29="","",'Liste besondere Wohnformen'!B29)</f>
        <v/>
      </c>
      <c r="C30" s="534"/>
      <c r="D30" s="416" t="str">
        <f>IF('Liste besondere Wohnformen'!C29="","",'Liste besondere Wohnformen'!C29)</f>
        <v/>
      </c>
      <c r="E30" s="233"/>
      <c r="F30" s="230" t="str">
        <f t="shared" si="0"/>
        <v/>
      </c>
      <c r="G30" s="24"/>
      <c r="H30" s="417" t="str">
        <f t="shared" si="1"/>
        <v/>
      </c>
      <c r="I30" s="233"/>
      <c r="J30" s="230" t="str">
        <f t="shared" si="2"/>
        <v/>
      </c>
      <c r="K30" s="24"/>
      <c r="L30" s="417" t="str">
        <f t="shared" si="3"/>
        <v/>
      </c>
      <c r="M30" s="421" t="str">
        <f t="shared" si="4"/>
        <v/>
      </c>
      <c r="N30" s="230" t="str">
        <f t="shared" si="5"/>
        <v/>
      </c>
      <c r="O30" s="230" t="str">
        <f t="shared" si="6"/>
        <v/>
      </c>
      <c r="P30" s="230" t="str">
        <f t="shared" si="7"/>
        <v/>
      </c>
      <c r="Q30" s="423" t="str">
        <f t="shared" si="8"/>
        <v/>
      </c>
      <c r="R30" s="413" t="str">
        <f t="shared" si="9"/>
        <v/>
      </c>
      <c r="S30" s="414" t="str">
        <f t="shared" si="12"/>
        <v/>
      </c>
    </row>
    <row r="31" spans="1:19" x14ac:dyDescent="0.25">
      <c r="A31" s="410">
        <f t="shared" si="11"/>
        <v>25</v>
      </c>
      <c r="B31" s="523" t="str">
        <f>IF('Liste besondere Wohnformen'!B30="","",'Liste besondere Wohnformen'!B30)</f>
        <v/>
      </c>
      <c r="C31" s="534"/>
      <c r="D31" s="416" t="str">
        <f>IF('Liste besondere Wohnformen'!C30="","",'Liste besondere Wohnformen'!C30)</f>
        <v/>
      </c>
      <c r="E31" s="434"/>
      <c r="F31" s="435" t="str">
        <f t="shared" si="0"/>
        <v/>
      </c>
      <c r="G31" s="436"/>
      <c r="H31" s="437" t="str">
        <f t="shared" si="1"/>
        <v/>
      </c>
      <c r="I31" s="434"/>
      <c r="J31" s="435" t="str">
        <f t="shared" si="2"/>
        <v/>
      </c>
      <c r="K31" s="436"/>
      <c r="L31" s="437" t="str">
        <f t="shared" si="3"/>
        <v/>
      </c>
      <c r="M31" s="421" t="str">
        <f t="shared" si="4"/>
        <v/>
      </c>
      <c r="N31" s="230" t="str">
        <f t="shared" si="5"/>
        <v/>
      </c>
      <c r="O31" s="230" t="str">
        <f t="shared" si="6"/>
        <v/>
      </c>
      <c r="P31" s="230" t="str">
        <f t="shared" si="7"/>
        <v/>
      </c>
      <c r="Q31" s="423" t="str">
        <f t="shared" si="8"/>
        <v/>
      </c>
      <c r="R31" s="413" t="str">
        <f t="shared" si="9"/>
        <v/>
      </c>
      <c r="S31" s="414" t="str">
        <f t="shared" si="12"/>
        <v/>
      </c>
    </row>
    <row r="32" spans="1:19" x14ac:dyDescent="0.25">
      <c r="A32" s="410">
        <f t="shared" si="11"/>
        <v>26</v>
      </c>
      <c r="B32" s="523" t="str">
        <f>IF('Liste besondere Wohnformen'!B31="","",'Liste besondere Wohnformen'!B31)</f>
        <v/>
      </c>
      <c r="C32" s="534"/>
      <c r="D32" s="416" t="str">
        <f>IF('Liste besondere Wohnformen'!C31="","",'Liste besondere Wohnformen'!C31)</f>
        <v/>
      </c>
      <c r="E32" s="233"/>
      <c r="F32" s="230" t="str">
        <f t="shared" ref="F32:F41" si="13">IF(E32="","",ROUND(E32*$F$6,0))</f>
        <v/>
      </c>
      <c r="G32" s="24"/>
      <c r="H32" s="417" t="str">
        <f t="shared" ref="H32:H41" si="14">IF(E32="","",F32-G32)</f>
        <v/>
      </c>
      <c r="I32" s="233"/>
      <c r="J32" s="230" t="str">
        <f t="shared" ref="J32:J41" si="15">IF(I32="","",ROUND(I32*$J$6,0))</f>
        <v/>
      </c>
      <c r="K32" s="24"/>
      <c r="L32" s="417" t="str">
        <f t="shared" ref="L32:L41" si="16">IF(I32="","",J32-K32)</f>
        <v/>
      </c>
      <c r="M32" s="421" t="str">
        <f t="shared" ref="M32:M41" si="17">IF(D32="","",G32+K32)</f>
        <v/>
      </c>
      <c r="N32" s="230" t="str">
        <f t="shared" ref="N32:N41" si="18">IF(D32="","",IF(H32="",L32,IF(L32="",H32,H32+L32)))</f>
        <v/>
      </c>
      <c r="O32" s="230" t="str">
        <f t="shared" ref="O32:O41" si="19">IF(D32="","",IF(M32=0,"",ROUND(M32/$D32,0)))</f>
        <v/>
      </c>
      <c r="P32" s="230" t="str">
        <f t="shared" ref="P32:P41" si="20">IF(D32="","",IF(N32=0,"",ROUND(N32/$D32,0)))</f>
        <v/>
      </c>
      <c r="Q32" s="423" t="str">
        <f t="shared" si="8"/>
        <v/>
      </c>
      <c r="R32" s="413" t="str">
        <f t="shared" si="9"/>
        <v/>
      </c>
      <c r="S32" s="414" t="str">
        <f t="shared" ref="S32:S41" si="21">IF(SUM(Q32:R32)=0,"",SUM(Q32:R32))</f>
        <v/>
      </c>
    </row>
    <row r="33" spans="1:19" x14ac:dyDescent="0.25">
      <c r="A33" s="410">
        <f t="shared" si="11"/>
        <v>27</v>
      </c>
      <c r="B33" s="523" t="str">
        <f>IF('Liste besondere Wohnformen'!B32="","",'Liste besondere Wohnformen'!B32)</f>
        <v/>
      </c>
      <c r="C33" s="534"/>
      <c r="D33" s="416" t="str">
        <f>IF('Liste besondere Wohnformen'!C32="","",'Liste besondere Wohnformen'!C32)</f>
        <v/>
      </c>
      <c r="E33" s="233"/>
      <c r="F33" s="230" t="str">
        <f t="shared" si="13"/>
        <v/>
      </c>
      <c r="G33" s="24"/>
      <c r="H33" s="417" t="str">
        <f t="shared" si="14"/>
        <v/>
      </c>
      <c r="I33" s="233"/>
      <c r="J33" s="230" t="str">
        <f t="shared" si="15"/>
        <v/>
      </c>
      <c r="K33" s="24"/>
      <c r="L33" s="417" t="str">
        <f t="shared" si="16"/>
        <v/>
      </c>
      <c r="M33" s="421" t="str">
        <f t="shared" si="17"/>
        <v/>
      </c>
      <c r="N33" s="230" t="str">
        <f t="shared" si="18"/>
        <v/>
      </c>
      <c r="O33" s="230" t="str">
        <f t="shared" si="19"/>
        <v/>
      </c>
      <c r="P33" s="230" t="str">
        <f t="shared" si="20"/>
        <v/>
      </c>
      <c r="Q33" s="423" t="str">
        <f t="shared" si="8"/>
        <v/>
      </c>
      <c r="R33" s="413" t="str">
        <f t="shared" si="9"/>
        <v/>
      </c>
      <c r="S33" s="414" t="str">
        <f t="shared" si="21"/>
        <v/>
      </c>
    </row>
    <row r="34" spans="1:19" x14ac:dyDescent="0.25">
      <c r="A34" s="410">
        <f t="shared" si="11"/>
        <v>28</v>
      </c>
      <c r="B34" s="523" t="str">
        <f>IF('Liste besondere Wohnformen'!B33="","",'Liste besondere Wohnformen'!B33)</f>
        <v/>
      </c>
      <c r="C34" s="534"/>
      <c r="D34" s="416" t="str">
        <f>IF('Liste besondere Wohnformen'!C33="","",'Liste besondere Wohnformen'!C33)</f>
        <v/>
      </c>
      <c r="E34" s="233"/>
      <c r="F34" s="230" t="str">
        <f t="shared" si="13"/>
        <v/>
      </c>
      <c r="G34" s="24"/>
      <c r="H34" s="417" t="str">
        <f t="shared" si="14"/>
        <v/>
      </c>
      <c r="I34" s="233"/>
      <c r="J34" s="230" t="str">
        <f t="shared" si="15"/>
        <v/>
      </c>
      <c r="K34" s="24"/>
      <c r="L34" s="417" t="str">
        <f t="shared" si="16"/>
        <v/>
      </c>
      <c r="M34" s="421" t="str">
        <f t="shared" si="17"/>
        <v/>
      </c>
      <c r="N34" s="230" t="str">
        <f t="shared" si="18"/>
        <v/>
      </c>
      <c r="O34" s="230" t="str">
        <f t="shared" si="19"/>
        <v/>
      </c>
      <c r="P34" s="230" t="str">
        <f t="shared" si="20"/>
        <v/>
      </c>
      <c r="Q34" s="423" t="str">
        <f t="shared" si="8"/>
        <v/>
      </c>
      <c r="R34" s="413" t="str">
        <f t="shared" si="9"/>
        <v/>
      </c>
      <c r="S34" s="414" t="str">
        <f t="shared" si="21"/>
        <v/>
      </c>
    </row>
    <row r="35" spans="1:19" x14ac:dyDescent="0.25">
      <c r="A35" s="410">
        <f t="shared" si="11"/>
        <v>29</v>
      </c>
      <c r="B35" s="523" t="str">
        <f>IF('Liste besondere Wohnformen'!B34="","",'Liste besondere Wohnformen'!B34)</f>
        <v/>
      </c>
      <c r="C35" s="534"/>
      <c r="D35" s="416" t="str">
        <f>IF('Liste besondere Wohnformen'!C34="","",'Liste besondere Wohnformen'!C34)</f>
        <v/>
      </c>
      <c r="E35" s="233"/>
      <c r="F35" s="230" t="str">
        <f t="shared" si="13"/>
        <v/>
      </c>
      <c r="G35" s="24"/>
      <c r="H35" s="417" t="str">
        <f t="shared" si="14"/>
        <v/>
      </c>
      <c r="I35" s="233"/>
      <c r="J35" s="230" t="str">
        <f t="shared" si="15"/>
        <v/>
      </c>
      <c r="K35" s="24"/>
      <c r="L35" s="417" t="str">
        <f t="shared" si="16"/>
        <v/>
      </c>
      <c r="M35" s="421" t="str">
        <f t="shared" si="17"/>
        <v/>
      </c>
      <c r="N35" s="230" t="str">
        <f t="shared" si="18"/>
        <v/>
      </c>
      <c r="O35" s="230" t="str">
        <f t="shared" si="19"/>
        <v/>
      </c>
      <c r="P35" s="230" t="str">
        <f t="shared" si="20"/>
        <v/>
      </c>
      <c r="Q35" s="423" t="str">
        <f t="shared" si="8"/>
        <v/>
      </c>
      <c r="R35" s="413" t="str">
        <f t="shared" si="9"/>
        <v/>
      </c>
      <c r="S35" s="414" t="str">
        <f t="shared" si="21"/>
        <v/>
      </c>
    </row>
    <row r="36" spans="1:19" x14ac:dyDescent="0.25">
      <c r="A36" s="410">
        <f t="shared" si="11"/>
        <v>30</v>
      </c>
      <c r="B36" s="523" t="str">
        <f>IF('Liste besondere Wohnformen'!B35="","",'Liste besondere Wohnformen'!B35)</f>
        <v/>
      </c>
      <c r="C36" s="534"/>
      <c r="D36" s="416" t="str">
        <f>IF('Liste besondere Wohnformen'!C35="","",'Liste besondere Wohnformen'!C35)</f>
        <v/>
      </c>
      <c r="E36" s="233"/>
      <c r="F36" s="230" t="str">
        <f t="shared" si="13"/>
        <v/>
      </c>
      <c r="G36" s="24"/>
      <c r="H36" s="417" t="str">
        <f t="shared" si="14"/>
        <v/>
      </c>
      <c r="I36" s="233"/>
      <c r="J36" s="230" t="str">
        <f t="shared" si="15"/>
        <v/>
      </c>
      <c r="K36" s="24"/>
      <c r="L36" s="417" t="str">
        <f t="shared" si="16"/>
        <v/>
      </c>
      <c r="M36" s="421" t="str">
        <f t="shared" si="17"/>
        <v/>
      </c>
      <c r="N36" s="230" t="str">
        <f t="shared" si="18"/>
        <v/>
      </c>
      <c r="O36" s="230" t="str">
        <f t="shared" si="19"/>
        <v/>
      </c>
      <c r="P36" s="230" t="str">
        <f t="shared" si="20"/>
        <v/>
      </c>
      <c r="Q36" s="423" t="str">
        <f t="shared" si="8"/>
        <v/>
      </c>
      <c r="R36" s="413" t="str">
        <f t="shared" si="9"/>
        <v/>
      </c>
      <c r="S36" s="414" t="str">
        <f t="shared" si="21"/>
        <v/>
      </c>
    </row>
    <row r="37" spans="1:19" x14ac:dyDescent="0.25">
      <c r="A37" s="410">
        <f t="shared" si="11"/>
        <v>31</v>
      </c>
      <c r="B37" s="523" t="str">
        <f>IF('Liste besondere Wohnformen'!B36="","",'Liste besondere Wohnformen'!B36)</f>
        <v/>
      </c>
      <c r="C37" s="534"/>
      <c r="D37" s="416" t="str">
        <f>IF('Liste besondere Wohnformen'!C36="","",'Liste besondere Wohnformen'!C36)</f>
        <v/>
      </c>
      <c r="E37" s="233"/>
      <c r="F37" s="230" t="str">
        <f t="shared" si="13"/>
        <v/>
      </c>
      <c r="G37" s="24"/>
      <c r="H37" s="417" t="str">
        <f t="shared" si="14"/>
        <v/>
      </c>
      <c r="I37" s="233"/>
      <c r="J37" s="230" t="str">
        <f t="shared" si="15"/>
        <v/>
      </c>
      <c r="K37" s="24"/>
      <c r="L37" s="417" t="str">
        <f t="shared" si="16"/>
        <v/>
      </c>
      <c r="M37" s="421" t="str">
        <f t="shared" si="17"/>
        <v/>
      </c>
      <c r="N37" s="230" t="str">
        <f t="shared" si="18"/>
        <v/>
      </c>
      <c r="O37" s="230" t="str">
        <f t="shared" si="19"/>
        <v/>
      </c>
      <c r="P37" s="230" t="str">
        <f t="shared" si="20"/>
        <v/>
      </c>
      <c r="Q37" s="423" t="str">
        <f t="shared" si="8"/>
        <v/>
      </c>
      <c r="R37" s="413" t="str">
        <f t="shared" si="9"/>
        <v/>
      </c>
      <c r="S37" s="414" t="str">
        <f t="shared" si="21"/>
        <v/>
      </c>
    </row>
    <row r="38" spans="1:19" x14ac:dyDescent="0.25">
      <c r="A38" s="410">
        <f t="shared" si="11"/>
        <v>32</v>
      </c>
      <c r="B38" s="523" t="str">
        <f>IF('Liste besondere Wohnformen'!B37="","",'Liste besondere Wohnformen'!B37)</f>
        <v/>
      </c>
      <c r="C38" s="534"/>
      <c r="D38" s="416" t="str">
        <f>IF('Liste besondere Wohnformen'!C37="","",'Liste besondere Wohnformen'!C37)</f>
        <v/>
      </c>
      <c r="E38" s="233"/>
      <c r="F38" s="230" t="str">
        <f t="shared" si="13"/>
        <v/>
      </c>
      <c r="G38" s="24"/>
      <c r="H38" s="417" t="str">
        <f t="shared" si="14"/>
        <v/>
      </c>
      <c r="I38" s="233"/>
      <c r="J38" s="230" t="str">
        <f t="shared" si="15"/>
        <v/>
      </c>
      <c r="K38" s="24"/>
      <c r="L38" s="417" t="str">
        <f t="shared" si="16"/>
        <v/>
      </c>
      <c r="M38" s="421" t="str">
        <f t="shared" si="17"/>
        <v/>
      </c>
      <c r="N38" s="230" t="str">
        <f t="shared" si="18"/>
        <v/>
      </c>
      <c r="O38" s="230" t="str">
        <f t="shared" si="19"/>
        <v/>
      </c>
      <c r="P38" s="230" t="str">
        <f t="shared" si="20"/>
        <v/>
      </c>
      <c r="Q38" s="423" t="str">
        <f t="shared" si="8"/>
        <v/>
      </c>
      <c r="R38" s="413" t="str">
        <f t="shared" si="9"/>
        <v/>
      </c>
      <c r="S38" s="414" t="str">
        <f t="shared" si="21"/>
        <v/>
      </c>
    </row>
    <row r="39" spans="1:19" x14ac:dyDescent="0.25">
      <c r="A39" s="410">
        <f t="shared" si="11"/>
        <v>33</v>
      </c>
      <c r="B39" s="523" t="str">
        <f>IF('Liste besondere Wohnformen'!B38="","",'Liste besondere Wohnformen'!B38)</f>
        <v/>
      </c>
      <c r="C39" s="534"/>
      <c r="D39" s="416" t="str">
        <f>IF('Liste besondere Wohnformen'!C38="","",'Liste besondere Wohnformen'!C38)</f>
        <v/>
      </c>
      <c r="E39" s="233"/>
      <c r="F39" s="230" t="str">
        <f t="shared" si="13"/>
        <v/>
      </c>
      <c r="G39" s="24"/>
      <c r="H39" s="417" t="str">
        <f t="shared" si="14"/>
        <v/>
      </c>
      <c r="I39" s="233"/>
      <c r="J39" s="230" t="str">
        <f t="shared" si="15"/>
        <v/>
      </c>
      <c r="K39" s="24"/>
      <c r="L39" s="417" t="str">
        <f t="shared" si="16"/>
        <v/>
      </c>
      <c r="M39" s="421" t="str">
        <f t="shared" si="17"/>
        <v/>
      </c>
      <c r="N39" s="230" t="str">
        <f t="shared" si="18"/>
        <v/>
      </c>
      <c r="O39" s="230" t="str">
        <f t="shared" si="19"/>
        <v/>
      </c>
      <c r="P39" s="230" t="str">
        <f t="shared" si="20"/>
        <v/>
      </c>
      <c r="Q39" s="423" t="str">
        <f t="shared" si="8"/>
        <v/>
      </c>
      <c r="R39" s="413" t="str">
        <f t="shared" si="9"/>
        <v/>
      </c>
      <c r="S39" s="414" t="str">
        <f t="shared" si="21"/>
        <v/>
      </c>
    </row>
    <row r="40" spans="1:19" x14ac:dyDescent="0.25">
      <c r="A40" s="410">
        <f t="shared" si="11"/>
        <v>34</v>
      </c>
      <c r="B40" s="523" t="str">
        <f>IF('Liste besondere Wohnformen'!B39="","",'Liste besondere Wohnformen'!B39)</f>
        <v/>
      </c>
      <c r="C40" s="534"/>
      <c r="D40" s="416" t="str">
        <f>IF('Liste besondere Wohnformen'!C39="","",'Liste besondere Wohnformen'!C39)</f>
        <v/>
      </c>
      <c r="E40" s="233"/>
      <c r="F40" s="230" t="str">
        <f t="shared" si="13"/>
        <v/>
      </c>
      <c r="G40" s="24"/>
      <c r="H40" s="417" t="str">
        <f t="shared" si="14"/>
        <v/>
      </c>
      <c r="I40" s="233"/>
      <c r="J40" s="230" t="str">
        <f t="shared" si="15"/>
        <v/>
      </c>
      <c r="K40" s="24"/>
      <c r="L40" s="417" t="str">
        <f t="shared" si="16"/>
        <v/>
      </c>
      <c r="M40" s="421" t="str">
        <f t="shared" si="17"/>
        <v/>
      </c>
      <c r="N40" s="230" t="str">
        <f t="shared" si="18"/>
        <v/>
      </c>
      <c r="O40" s="230" t="str">
        <f t="shared" si="19"/>
        <v/>
      </c>
      <c r="P40" s="230" t="str">
        <f t="shared" si="20"/>
        <v/>
      </c>
      <c r="Q40" s="423" t="str">
        <f t="shared" si="8"/>
        <v/>
      </c>
      <c r="R40" s="413" t="str">
        <f t="shared" si="9"/>
        <v/>
      </c>
      <c r="S40" s="414" t="str">
        <f t="shared" si="21"/>
        <v/>
      </c>
    </row>
    <row r="41" spans="1:19" x14ac:dyDescent="0.25">
      <c r="A41" s="410">
        <f t="shared" si="11"/>
        <v>35</v>
      </c>
      <c r="B41" s="523" t="str">
        <f>IF('Liste besondere Wohnformen'!B40="","",'Liste besondere Wohnformen'!B40)</f>
        <v/>
      </c>
      <c r="C41" s="534"/>
      <c r="D41" s="416" t="str">
        <f>IF('Liste besondere Wohnformen'!C40="","",'Liste besondere Wohnformen'!C40)</f>
        <v/>
      </c>
      <c r="E41" s="233"/>
      <c r="F41" s="230" t="str">
        <f t="shared" si="13"/>
        <v/>
      </c>
      <c r="G41" s="24"/>
      <c r="H41" s="417" t="str">
        <f t="shared" si="14"/>
        <v/>
      </c>
      <c r="I41" s="233"/>
      <c r="J41" s="230" t="str">
        <f t="shared" si="15"/>
        <v/>
      </c>
      <c r="K41" s="24"/>
      <c r="L41" s="417" t="str">
        <f t="shared" si="16"/>
        <v/>
      </c>
      <c r="M41" s="421" t="str">
        <f t="shared" si="17"/>
        <v/>
      </c>
      <c r="N41" s="230" t="str">
        <f t="shared" si="18"/>
        <v/>
      </c>
      <c r="O41" s="230" t="str">
        <f t="shared" si="19"/>
        <v/>
      </c>
      <c r="P41" s="230" t="str">
        <f t="shared" si="20"/>
        <v/>
      </c>
      <c r="Q41" s="423" t="str">
        <f t="shared" si="8"/>
        <v/>
      </c>
      <c r="R41" s="413" t="str">
        <f t="shared" si="9"/>
        <v/>
      </c>
      <c r="S41" s="414" t="str">
        <f t="shared" si="21"/>
        <v/>
      </c>
    </row>
    <row r="42" spans="1:19" x14ac:dyDescent="0.25">
      <c r="A42" s="410">
        <f t="shared" si="11"/>
        <v>36</v>
      </c>
      <c r="B42" s="523" t="str">
        <f>IF('Liste besondere Wohnformen'!B41="","",'Liste besondere Wohnformen'!B41)</f>
        <v/>
      </c>
      <c r="C42" s="534"/>
      <c r="D42" s="416" t="str">
        <f>IF('Liste besondere Wohnformen'!C41="","",'Liste besondere Wohnformen'!C41)</f>
        <v/>
      </c>
      <c r="E42" s="233"/>
      <c r="F42" s="230" t="str">
        <f t="shared" ref="F42:F46" si="22">IF(E42="","",ROUND(E42*$F$6,0))</f>
        <v/>
      </c>
      <c r="G42" s="24"/>
      <c r="H42" s="417" t="str">
        <f t="shared" ref="H42:H46" si="23">IF(E42="","",F42-G42)</f>
        <v/>
      </c>
      <c r="I42" s="233"/>
      <c r="J42" s="230" t="str">
        <f t="shared" ref="J42:J46" si="24">IF(I42="","",ROUND(I42*$J$6,0))</f>
        <v/>
      </c>
      <c r="K42" s="24"/>
      <c r="L42" s="417" t="str">
        <f t="shared" ref="L42:L46" si="25">IF(I42="","",J42-K42)</f>
        <v/>
      </c>
      <c r="M42" s="421" t="str">
        <f t="shared" ref="M42:M46" si="26">IF(D42="","",G42+K42)</f>
        <v/>
      </c>
      <c r="N42" s="230" t="str">
        <f t="shared" ref="N42:N46" si="27">IF(D42="","",IF(H42="",L42,IF(L42="",H42,H42+L42)))</f>
        <v/>
      </c>
      <c r="O42" s="230" t="str">
        <f t="shared" ref="O42:O46" si="28">IF(D42="","",IF(M42=0,"",ROUND(M42/$D42,0)))</f>
        <v/>
      </c>
      <c r="P42" s="230" t="str">
        <f t="shared" ref="P42:P46" si="29">IF(D42="","",IF(N42=0,"",ROUND(N42/$D42,0)))</f>
        <v/>
      </c>
      <c r="Q42" s="423" t="str">
        <f t="shared" si="8"/>
        <v/>
      </c>
      <c r="R42" s="413" t="str">
        <f t="shared" si="9"/>
        <v/>
      </c>
      <c r="S42" s="414" t="str">
        <f t="shared" ref="S42:S46" si="30">IF(SUM(Q42:R42)=0,"",SUM(Q42:R42))</f>
        <v/>
      </c>
    </row>
    <row r="43" spans="1:19" x14ac:dyDescent="0.25">
      <c r="A43" s="410">
        <f t="shared" si="11"/>
        <v>37</v>
      </c>
      <c r="B43" s="523" t="str">
        <f>IF('Liste besondere Wohnformen'!B42="","",'Liste besondere Wohnformen'!B42)</f>
        <v/>
      </c>
      <c r="C43" s="534"/>
      <c r="D43" s="416" t="str">
        <f>IF('Liste besondere Wohnformen'!C42="","",'Liste besondere Wohnformen'!C42)</f>
        <v/>
      </c>
      <c r="E43" s="233"/>
      <c r="F43" s="230" t="str">
        <f t="shared" si="22"/>
        <v/>
      </c>
      <c r="G43" s="24"/>
      <c r="H43" s="417" t="str">
        <f t="shared" si="23"/>
        <v/>
      </c>
      <c r="I43" s="233"/>
      <c r="J43" s="230" t="str">
        <f t="shared" si="24"/>
        <v/>
      </c>
      <c r="K43" s="24"/>
      <c r="L43" s="417" t="str">
        <f t="shared" si="25"/>
        <v/>
      </c>
      <c r="M43" s="421" t="str">
        <f t="shared" si="26"/>
        <v/>
      </c>
      <c r="N43" s="230" t="str">
        <f t="shared" si="27"/>
        <v/>
      </c>
      <c r="O43" s="230" t="str">
        <f t="shared" si="28"/>
        <v/>
      </c>
      <c r="P43" s="230" t="str">
        <f t="shared" si="29"/>
        <v/>
      </c>
      <c r="Q43" s="423" t="str">
        <f t="shared" si="8"/>
        <v/>
      </c>
      <c r="R43" s="413" t="str">
        <f t="shared" si="9"/>
        <v/>
      </c>
      <c r="S43" s="414" t="str">
        <f t="shared" si="30"/>
        <v/>
      </c>
    </row>
    <row r="44" spans="1:19" x14ac:dyDescent="0.25">
      <c r="A44" s="410">
        <f t="shared" si="11"/>
        <v>38</v>
      </c>
      <c r="B44" s="523" t="str">
        <f>IF('Liste besondere Wohnformen'!B43="","",'Liste besondere Wohnformen'!B43)</f>
        <v/>
      </c>
      <c r="C44" s="534"/>
      <c r="D44" s="416" t="str">
        <f>IF('Liste besondere Wohnformen'!C43="","",'Liste besondere Wohnformen'!C43)</f>
        <v/>
      </c>
      <c r="E44" s="233"/>
      <c r="F44" s="230" t="str">
        <f t="shared" si="22"/>
        <v/>
      </c>
      <c r="G44" s="24"/>
      <c r="H44" s="417" t="str">
        <f t="shared" si="23"/>
        <v/>
      </c>
      <c r="I44" s="233"/>
      <c r="J44" s="230" t="str">
        <f t="shared" si="24"/>
        <v/>
      </c>
      <c r="K44" s="24"/>
      <c r="L44" s="417" t="str">
        <f t="shared" si="25"/>
        <v/>
      </c>
      <c r="M44" s="421" t="str">
        <f t="shared" si="26"/>
        <v/>
      </c>
      <c r="N44" s="230" t="str">
        <f t="shared" si="27"/>
        <v/>
      </c>
      <c r="O44" s="230" t="str">
        <f t="shared" si="28"/>
        <v/>
      </c>
      <c r="P44" s="230" t="str">
        <f t="shared" si="29"/>
        <v/>
      </c>
      <c r="Q44" s="423" t="str">
        <f t="shared" si="8"/>
        <v/>
      </c>
      <c r="R44" s="413" t="str">
        <f t="shared" si="9"/>
        <v/>
      </c>
      <c r="S44" s="414" t="str">
        <f t="shared" si="30"/>
        <v/>
      </c>
    </row>
    <row r="45" spans="1:19" x14ac:dyDescent="0.25">
      <c r="A45" s="410">
        <f t="shared" si="11"/>
        <v>39</v>
      </c>
      <c r="B45" s="523" t="str">
        <f>IF('Liste besondere Wohnformen'!B44="","",'Liste besondere Wohnformen'!B44)</f>
        <v/>
      </c>
      <c r="C45" s="534"/>
      <c r="D45" s="416" t="str">
        <f>IF('Liste besondere Wohnformen'!C44="","",'Liste besondere Wohnformen'!C44)</f>
        <v/>
      </c>
      <c r="E45" s="233"/>
      <c r="F45" s="230" t="str">
        <f t="shared" si="22"/>
        <v/>
      </c>
      <c r="G45" s="24"/>
      <c r="H45" s="417" t="str">
        <f t="shared" si="23"/>
        <v/>
      </c>
      <c r="I45" s="233"/>
      <c r="J45" s="230" t="str">
        <f t="shared" si="24"/>
        <v/>
      </c>
      <c r="K45" s="24"/>
      <c r="L45" s="417" t="str">
        <f t="shared" si="25"/>
        <v/>
      </c>
      <c r="M45" s="421" t="str">
        <f t="shared" si="26"/>
        <v/>
      </c>
      <c r="N45" s="230" t="str">
        <f t="shared" si="27"/>
        <v/>
      </c>
      <c r="O45" s="230" t="str">
        <f t="shared" si="28"/>
        <v/>
      </c>
      <c r="P45" s="230" t="str">
        <f t="shared" si="29"/>
        <v/>
      </c>
      <c r="Q45" s="423" t="str">
        <f t="shared" si="8"/>
        <v/>
      </c>
      <c r="R45" s="413" t="str">
        <f t="shared" si="9"/>
        <v/>
      </c>
      <c r="S45" s="414" t="str">
        <f t="shared" si="30"/>
        <v/>
      </c>
    </row>
    <row r="46" spans="1:19" ht="14.4" thickBot="1" x14ac:dyDescent="0.3">
      <c r="A46" s="410">
        <f t="shared" si="11"/>
        <v>40</v>
      </c>
      <c r="B46" s="523" t="str">
        <f>IF('Liste besondere Wohnformen'!B45="","",'Liste besondere Wohnformen'!B45)</f>
        <v/>
      </c>
      <c r="C46" s="534"/>
      <c r="D46" s="416" t="str">
        <f>IF('Liste besondere Wohnformen'!C45="","",'Liste besondere Wohnformen'!C45)</f>
        <v/>
      </c>
      <c r="E46" s="234"/>
      <c r="F46" s="418" t="str">
        <f t="shared" si="22"/>
        <v/>
      </c>
      <c r="G46" s="235"/>
      <c r="H46" s="419" t="str">
        <f t="shared" si="23"/>
        <v/>
      </c>
      <c r="I46" s="234"/>
      <c r="J46" s="418" t="str">
        <f t="shared" si="24"/>
        <v/>
      </c>
      <c r="K46" s="235"/>
      <c r="L46" s="419" t="str">
        <f t="shared" si="25"/>
        <v/>
      </c>
      <c r="M46" s="421" t="str">
        <f t="shared" si="26"/>
        <v/>
      </c>
      <c r="N46" s="230" t="str">
        <f t="shared" si="27"/>
        <v/>
      </c>
      <c r="O46" s="230" t="str">
        <f t="shared" si="28"/>
        <v/>
      </c>
      <c r="P46" s="230" t="str">
        <f t="shared" si="29"/>
        <v/>
      </c>
      <c r="Q46" s="423" t="str">
        <f t="shared" si="8"/>
        <v/>
      </c>
      <c r="R46" s="413" t="str">
        <f t="shared" si="9"/>
        <v/>
      </c>
      <c r="S46" s="414" t="str">
        <f t="shared" si="30"/>
        <v/>
      </c>
    </row>
    <row r="47" spans="1:19" x14ac:dyDescent="0.25">
      <c r="A47" s="18"/>
      <c r="B47" s="528"/>
      <c r="C47" s="529"/>
      <c r="D47" s="19"/>
      <c r="E47" s="20"/>
      <c r="F47" s="19"/>
      <c r="G47" s="21"/>
      <c r="H47" s="19"/>
      <c r="I47" s="20"/>
      <c r="J47" s="19"/>
      <c r="K47" s="21"/>
      <c r="L47" s="19"/>
      <c r="M47" s="19"/>
      <c r="N47" s="19"/>
      <c r="O47" s="22"/>
      <c r="P47" s="22"/>
    </row>
    <row r="48" spans="1:19" x14ac:dyDescent="0.25">
      <c r="A48" s="18"/>
      <c r="B48" s="528"/>
      <c r="C48" s="529"/>
      <c r="D48" s="19"/>
      <c r="E48" s="20"/>
      <c r="F48" s="19"/>
      <c r="G48" s="21"/>
      <c r="H48" s="19"/>
      <c r="I48" s="20"/>
      <c r="J48" s="19"/>
      <c r="K48" s="21"/>
      <c r="L48" s="19"/>
      <c r="M48" s="19"/>
      <c r="N48" s="19"/>
      <c r="O48" s="22"/>
      <c r="P48" s="22"/>
    </row>
    <row r="49" spans="1:16" x14ac:dyDescent="0.25">
      <c r="A49" s="18"/>
      <c r="B49" s="528"/>
      <c r="C49" s="529"/>
      <c r="D49" s="19"/>
      <c r="E49" s="20"/>
      <c r="F49" s="19"/>
      <c r="G49" s="21"/>
      <c r="H49" s="19"/>
      <c r="I49" s="20"/>
      <c r="J49" s="19"/>
      <c r="K49" s="21"/>
      <c r="L49" s="19"/>
      <c r="M49" s="19"/>
      <c r="N49" s="19"/>
      <c r="O49" s="22"/>
      <c r="P49" s="22"/>
    </row>
    <row r="50" spans="1:16" x14ac:dyDescent="0.25">
      <c r="A50" s="18"/>
      <c r="B50" s="528"/>
      <c r="C50" s="529"/>
      <c r="D50" s="19"/>
      <c r="E50" s="20"/>
      <c r="F50" s="19"/>
      <c r="G50" s="21"/>
      <c r="H50" s="19"/>
      <c r="I50" s="20"/>
      <c r="J50" s="19"/>
      <c r="K50" s="21"/>
      <c r="L50" s="19"/>
      <c r="M50" s="19"/>
      <c r="N50" s="19"/>
      <c r="O50" s="22"/>
      <c r="P50" s="22"/>
    </row>
    <row r="51" spans="1:16" x14ac:dyDescent="0.25">
      <c r="A51" s="18"/>
      <c r="B51" s="528"/>
      <c r="C51" s="529"/>
      <c r="D51" s="19"/>
      <c r="E51" s="20"/>
      <c r="F51" s="19"/>
      <c r="G51" s="21"/>
      <c r="H51" s="19"/>
      <c r="I51" s="20"/>
      <c r="J51" s="19"/>
      <c r="K51" s="21"/>
      <c r="L51" s="19"/>
      <c r="M51" s="19"/>
      <c r="N51" s="19"/>
      <c r="O51" s="22"/>
      <c r="P51" s="22"/>
    </row>
    <row r="52" spans="1:16" x14ac:dyDescent="0.25">
      <c r="A52" s="18"/>
      <c r="B52" s="528"/>
      <c r="C52" s="529"/>
      <c r="D52" s="19"/>
      <c r="E52" s="20"/>
      <c r="F52" s="19"/>
      <c r="G52" s="21"/>
      <c r="H52" s="19"/>
      <c r="I52" s="20"/>
      <c r="J52" s="19"/>
      <c r="K52" s="21"/>
      <c r="L52" s="19"/>
      <c r="M52" s="19"/>
      <c r="N52" s="19"/>
      <c r="O52" s="22"/>
      <c r="P52" s="22"/>
    </row>
    <row r="53" spans="1:16" x14ac:dyDescent="0.25">
      <c r="A53" s="18"/>
      <c r="B53" s="528"/>
      <c r="C53" s="529"/>
      <c r="D53" s="19"/>
      <c r="E53" s="20"/>
      <c r="F53" s="19"/>
      <c r="G53" s="21"/>
      <c r="H53" s="19"/>
      <c r="I53" s="20"/>
      <c r="J53" s="19"/>
      <c r="K53" s="21"/>
      <c r="L53" s="19"/>
      <c r="M53" s="19"/>
      <c r="N53" s="19"/>
      <c r="O53" s="22"/>
      <c r="P53" s="22"/>
    </row>
    <row r="54" spans="1:16" x14ac:dyDescent="0.25">
      <c r="A54" s="18"/>
      <c r="B54" s="528"/>
      <c r="C54" s="529"/>
      <c r="D54" s="19"/>
      <c r="E54" s="20"/>
      <c r="F54" s="19"/>
      <c r="G54" s="21"/>
      <c r="H54" s="19"/>
      <c r="I54" s="20"/>
      <c r="J54" s="19"/>
      <c r="K54" s="21"/>
      <c r="L54" s="19"/>
      <c r="M54" s="19"/>
      <c r="N54" s="19"/>
      <c r="O54" s="22"/>
      <c r="P54" s="22"/>
    </row>
    <row r="55" spans="1:16" x14ac:dyDescent="0.25">
      <c r="A55" s="18"/>
      <c r="B55" s="528"/>
      <c r="C55" s="529"/>
      <c r="D55" s="19"/>
      <c r="E55" s="20"/>
      <c r="F55" s="19"/>
      <c r="G55" s="21"/>
      <c r="H55" s="19"/>
      <c r="I55" s="20"/>
      <c r="J55" s="19"/>
      <c r="K55" s="21"/>
      <c r="L55" s="19"/>
      <c r="M55" s="19"/>
      <c r="N55" s="19"/>
      <c r="O55" s="22"/>
      <c r="P55" s="22"/>
    </row>
    <row r="56" spans="1:16" x14ac:dyDescent="0.25">
      <c r="A56" s="18"/>
      <c r="B56" s="528"/>
      <c r="C56" s="529"/>
      <c r="D56" s="19"/>
      <c r="E56" s="20"/>
      <c r="F56" s="19"/>
      <c r="G56" s="21"/>
      <c r="H56" s="19"/>
      <c r="I56" s="20"/>
      <c r="J56" s="19"/>
      <c r="K56" s="21"/>
      <c r="L56" s="19"/>
      <c r="M56" s="19"/>
      <c r="N56" s="19"/>
      <c r="O56" s="22"/>
      <c r="P56" s="22"/>
    </row>
    <row r="57" spans="1:16" x14ac:dyDescent="0.25">
      <c r="A57" s="18"/>
      <c r="B57" s="528"/>
      <c r="C57" s="529"/>
      <c r="D57" s="19"/>
      <c r="E57" s="20"/>
      <c r="F57" s="19"/>
      <c r="G57" s="21"/>
      <c r="H57" s="19"/>
      <c r="I57" s="20"/>
      <c r="J57" s="19"/>
      <c r="K57" s="21"/>
      <c r="L57" s="19"/>
      <c r="M57" s="19"/>
      <c r="N57" s="19"/>
      <c r="O57" s="22"/>
      <c r="P57" s="22"/>
    </row>
    <row r="58" spans="1:16" x14ac:dyDescent="0.25">
      <c r="A58" s="18"/>
      <c r="B58" s="528"/>
      <c r="C58" s="529"/>
      <c r="D58" s="19"/>
      <c r="E58" s="20"/>
      <c r="F58" s="19"/>
      <c r="G58" s="21"/>
      <c r="H58" s="19"/>
      <c r="I58" s="20"/>
      <c r="J58" s="19"/>
      <c r="K58" s="21"/>
      <c r="L58" s="19"/>
      <c r="M58" s="19"/>
      <c r="N58" s="19"/>
      <c r="O58" s="22"/>
      <c r="P58" s="22"/>
    </row>
    <row r="59" spans="1:16" x14ac:dyDescent="0.25">
      <c r="A59" s="18"/>
      <c r="B59" s="528"/>
      <c r="C59" s="529"/>
      <c r="D59" s="19"/>
      <c r="E59" s="20"/>
      <c r="F59" s="19"/>
      <c r="G59" s="21"/>
      <c r="H59" s="19"/>
      <c r="I59" s="20"/>
      <c r="J59" s="19"/>
      <c r="K59" s="21"/>
      <c r="L59" s="19"/>
      <c r="M59" s="19"/>
      <c r="N59" s="19"/>
      <c r="O59" s="22"/>
      <c r="P59" s="22"/>
    </row>
    <row r="60" spans="1:16" x14ac:dyDescent="0.25">
      <c r="A60" s="18"/>
      <c r="B60" s="528"/>
      <c r="C60" s="529"/>
      <c r="D60" s="19"/>
      <c r="E60" s="20"/>
      <c r="F60" s="19"/>
      <c r="G60" s="21"/>
      <c r="H60" s="19"/>
      <c r="I60" s="20"/>
      <c r="J60" s="19"/>
      <c r="K60" s="21"/>
      <c r="L60" s="19"/>
      <c r="M60" s="19"/>
      <c r="N60" s="19"/>
      <c r="O60" s="22"/>
      <c r="P60" s="22"/>
    </row>
    <row r="61" spans="1:16" x14ac:dyDescent="0.25">
      <c r="A61" s="18"/>
      <c r="B61" s="528"/>
      <c r="C61" s="529"/>
      <c r="D61" s="19"/>
      <c r="E61" s="20"/>
      <c r="F61" s="19"/>
      <c r="G61" s="21"/>
      <c r="H61" s="19"/>
      <c r="I61" s="20"/>
      <c r="J61" s="19"/>
      <c r="K61" s="21"/>
      <c r="L61" s="19"/>
      <c r="M61" s="19"/>
      <c r="N61" s="19"/>
      <c r="O61" s="22"/>
      <c r="P61" s="22"/>
    </row>
    <row r="62" spans="1:16" x14ac:dyDescent="0.25">
      <c r="A62" s="18"/>
      <c r="B62" s="528"/>
      <c r="C62" s="529"/>
      <c r="D62" s="19"/>
      <c r="E62" s="20"/>
      <c r="F62" s="19"/>
      <c r="G62" s="21"/>
      <c r="H62" s="19"/>
      <c r="I62" s="20"/>
      <c r="J62" s="19"/>
      <c r="K62" s="21"/>
      <c r="L62" s="19"/>
      <c r="M62" s="19"/>
      <c r="N62" s="19"/>
      <c r="O62" s="22"/>
      <c r="P62" s="22"/>
    </row>
    <row r="63" spans="1:16" x14ac:dyDescent="0.25">
      <c r="A63" s="18"/>
      <c r="B63" s="528"/>
      <c r="C63" s="529"/>
      <c r="D63" s="19"/>
      <c r="E63" s="20"/>
      <c r="F63" s="19"/>
      <c r="G63" s="21"/>
      <c r="H63" s="19"/>
      <c r="I63" s="20"/>
      <c r="J63" s="19"/>
      <c r="K63" s="21"/>
      <c r="L63" s="19"/>
      <c r="M63" s="19"/>
      <c r="N63" s="19"/>
      <c r="O63" s="22"/>
      <c r="P63" s="22"/>
    </row>
    <row r="64" spans="1:16" x14ac:dyDescent="0.25">
      <c r="A64" s="18"/>
      <c r="B64" s="528"/>
      <c r="C64" s="529"/>
      <c r="D64" s="19"/>
      <c r="E64" s="20"/>
      <c r="F64" s="19"/>
      <c r="G64" s="21"/>
      <c r="H64" s="19"/>
      <c r="I64" s="20"/>
      <c r="J64" s="19"/>
      <c r="K64" s="21"/>
      <c r="L64" s="19"/>
      <c r="M64" s="19"/>
      <c r="N64" s="19"/>
      <c r="O64" s="22"/>
      <c r="P64" s="22"/>
    </row>
    <row r="65" spans="1:16" x14ac:dyDescent="0.25">
      <c r="A65" s="18"/>
      <c r="B65" s="528"/>
      <c r="C65" s="529"/>
      <c r="D65" s="19"/>
      <c r="E65" s="20"/>
      <c r="F65" s="19"/>
      <c r="G65" s="21"/>
      <c r="H65" s="19"/>
      <c r="I65" s="20"/>
      <c r="J65" s="19"/>
      <c r="K65" s="21"/>
      <c r="L65" s="19"/>
      <c r="M65" s="19"/>
      <c r="N65" s="19"/>
      <c r="O65" s="22"/>
      <c r="P65" s="22"/>
    </row>
    <row r="66" spans="1:16" x14ac:dyDescent="0.25">
      <c r="A66" s="18"/>
      <c r="B66" s="528"/>
      <c r="C66" s="529"/>
      <c r="D66" s="19"/>
      <c r="E66" s="20"/>
      <c r="F66" s="19"/>
      <c r="G66" s="21"/>
      <c r="H66" s="19"/>
      <c r="I66" s="20"/>
      <c r="J66" s="19"/>
      <c r="K66" s="21"/>
      <c r="L66" s="19"/>
      <c r="M66" s="19"/>
      <c r="N66" s="19"/>
      <c r="O66" s="22"/>
      <c r="P66" s="22"/>
    </row>
    <row r="67" spans="1:16" x14ac:dyDescent="0.25">
      <c r="A67" s="530"/>
      <c r="B67" s="530"/>
      <c r="C67" s="530"/>
      <c r="D67" s="22"/>
      <c r="E67" s="23"/>
      <c r="F67" s="22"/>
      <c r="G67" s="22"/>
      <c r="H67" s="22"/>
      <c r="I67" s="23"/>
      <c r="J67" s="22"/>
      <c r="K67" s="22"/>
      <c r="L67" s="22"/>
      <c r="M67" s="22"/>
      <c r="N67" s="22"/>
      <c r="O67" s="22"/>
      <c r="P67" s="22"/>
    </row>
    <row r="68" spans="1:16" x14ac:dyDescent="0.25">
      <c r="A68" s="1"/>
      <c r="B68" s="1"/>
      <c r="C68" s="1"/>
      <c r="D68" s="1"/>
      <c r="E68" s="1"/>
      <c r="F68" s="1"/>
      <c r="G68" s="1"/>
      <c r="H68" s="1"/>
      <c r="I68" s="1"/>
      <c r="J68" s="1"/>
      <c r="K68" s="1"/>
      <c r="L68" s="1"/>
      <c r="M68" s="1"/>
      <c r="N68" s="1"/>
      <c r="O68" s="1"/>
      <c r="P68" s="1"/>
    </row>
  </sheetData>
  <sheetProtection algorithmName="SHA-512" hashValue="x3Ukf2mSbyw5G2TVVdMh4+NWBWNUu3wrdWqlOHgz60yKUh17lhQGDjjpAoo7PmTCA8mjK5+xHZ319xlLBBB/LA==" saltValue="H+6+KXrvP+bmXKyOMEyvYg==" spinCount="100000" sheet="1" objects="1" scenarios="1" formatCells="0"/>
  <mergeCells count="75">
    <mergeCell ref="U5:V5"/>
    <mergeCell ref="U4:V4"/>
    <mergeCell ref="M4:P4"/>
    <mergeCell ref="G5:H5"/>
    <mergeCell ref="K5:L5"/>
    <mergeCell ref="M5:N5"/>
    <mergeCell ref="A4:A6"/>
    <mergeCell ref="B4:C6"/>
    <mergeCell ref="D4:D6"/>
    <mergeCell ref="E4:H4"/>
    <mergeCell ref="I4:L4"/>
    <mergeCell ref="B17:C17"/>
    <mergeCell ref="O5:P5"/>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6:C66"/>
    <mergeCell ref="A67:C67"/>
    <mergeCell ref="Q5:S5"/>
    <mergeCell ref="B3:S3"/>
    <mergeCell ref="B60:C60"/>
    <mergeCell ref="B61:C61"/>
    <mergeCell ref="B62:C62"/>
    <mergeCell ref="B63:C63"/>
    <mergeCell ref="B64:C64"/>
    <mergeCell ref="B65:C65"/>
    <mergeCell ref="B54:C54"/>
    <mergeCell ref="B55:C55"/>
    <mergeCell ref="B56:C56"/>
    <mergeCell ref="B57:C57"/>
    <mergeCell ref="B58:C58"/>
    <mergeCell ref="B59:C59"/>
  </mergeCells>
  <pageMargins left="0.7" right="0.7" top="0.78740157499999996" bottom="0.78740157499999996" header="0.3" footer="0.3"/>
  <pageSetup paperSize="9" scale="59" fitToWidth="0" fitToHeight="0" orientation="landscape" r:id="rId1"/>
  <headerFooter>
    <oddFooter>&amp;L&amp;"Arial,Standard"&amp;8Datum des Ausdrucks
&amp;D&amp;C&amp;"Arial,Standard"&amp;8Kalkulationsdatei Assistenzleistungen 
Rahmenvertrag 3 Version 1.0&amp;R&amp;"Arial,Standard"&amp;8Bereitschaftspauschale
 Seite &amp;P von &amp;N</oddFooter>
  </headerFooter>
  <colBreaks count="1" manualBreakCount="1">
    <brk id="19"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G61"/>
  <sheetViews>
    <sheetView showGridLines="0" zoomScaleNormal="100" workbookViewId="0">
      <selection activeCell="C27" sqref="C27:C30"/>
    </sheetView>
  </sheetViews>
  <sheetFormatPr baseColWidth="10" defaultColWidth="11.44140625" defaultRowHeight="13.2" x14ac:dyDescent="0.25"/>
  <cols>
    <col min="1" max="1" width="5.44140625" style="1" customWidth="1"/>
    <col min="2" max="2" width="69" style="1" customWidth="1"/>
    <col min="3" max="3" width="22.109375" style="1" customWidth="1"/>
    <col min="4" max="16384" width="11.44140625" style="1"/>
  </cols>
  <sheetData>
    <row r="1" spans="1:7" ht="25.5" customHeight="1" x14ac:dyDescent="0.25">
      <c r="A1" s="32"/>
      <c r="B1" s="554"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c r="C1" s="554"/>
      <c r="D1" s="554"/>
      <c r="E1" s="554"/>
      <c r="F1" s="313"/>
      <c r="G1" s="30"/>
    </row>
    <row r="2" spans="1:7" x14ac:dyDescent="0.25">
      <c r="A2" s="32"/>
      <c r="B2" s="326"/>
      <c r="C2" s="327"/>
      <c r="D2" s="325"/>
      <c r="E2" s="328"/>
      <c r="F2" s="37"/>
      <c r="G2" s="30"/>
    </row>
    <row r="3" spans="1:7" x14ac:dyDescent="0.25">
      <c r="A3" s="309"/>
      <c r="B3" s="555" t="s">
        <v>29</v>
      </c>
      <c r="C3" s="556"/>
      <c r="D3" s="35"/>
      <c r="E3" s="314"/>
      <c r="F3" s="30"/>
      <c r="G3" s="30"/>
    </row>
    <row r="4" spans="1:7" x14ac:dyDescent="0.25">
      <c r="A4" s="32"/>
      <c r="B4" s="41" t="s">
        <v>154</v>
      </c>
      <c r="C4" s="227" t="str">
        <f>'PK AG_Brutto'!N20</f>
        <v/>
      </c>
      <c r="D4" s="35"/>
      <c r="E4" s="30"/>
      <c r="F4" s="30"/>
      <c r="G4" s="30"/>
    </row>
    <row r="5" spans="1:7" x14ac:dyDescent="0.25">
      <c r="A5" s="32"/>
      <c r="B5" s="41" t="s">
        <v>155</v>
      </c>
      <c r="C5" s="335"/>
      <c r="D5" s="35"/>
      <c r="E5" s="30"/>
      <c r="F5" s="30"/>
      <c r="G5" s="30"/>
    </row>
    <row r="6" spans="1:7" x14ac:dyDescent="0.25">
      <c r="A6" s="32"/>
      <c r="B6" s="41" t="s">
        <v>156</v>
      </c>
      <c r="C6" s="335"/>
      <c r="D6" s="35"/>
      <c r="E6" s="30"/>
      <c r="F6" s="30"/>
      <c r="G6" s="30"/>
    </row>
    <row r="7" spans="1:7" x14ac:dyDescent="0.25">
      <c r="A7" s="32"/>
      <c r="B7" s="41" t="s">
        <v>157</v>
      </c>
      <c r="C7" s="335"/>
      <c r="D7" s="35"/>
      <c r="E7" s="30"/>
      <c r="F7" s="37"/>
      <c r="G7" s="30"/>
    </row>
    <row r="8" spans="1:7" x14ac:dyDescent="0.25">
      <c r="A8" s="32"/>
      <c r="B8" s="41" t="s">
        <v>158</v>
      </c>
      <c r="C8" s="335"/>
      <c r="D8" s="35"/>
      <c r="E8" s="30"/>
      <c r="F8" s="30"/>
      <c r="G8" s="30"/>
    </row>
    <row r="9" spans="1:7" x14ac:dyDescent="0.25">
      <c r="A9" s="32"/>
      <c r="B9" s="41" t="s">
        <v>253</v>
      </c>
      <c r="C9" s="335"/>
      <c r="D9" s="35"/>
      <c r="E9" s="30"/>
      <c r="F9" s="30"/>
      <c r="G9" s="30"/>
    </row>
    <row r="10" spans="1:7" x14ac:dyDescent="0.25">
      <c r="A10" s="32"/>
      <c r="B10" s="41" t="s">
        <v>159</v>
      </c>
      <c r="C10" s="335"/>
      <c r="D10" s="35"/>
      <c r="E10" s="30"/>
      <c r="F10" s="30"/>
      <c r="G10" s="30"/>
    </row>
    <row r="11" spans="1:7" x14ac:dyDescent="0.25">
      <c r="A11" s="32"/>
      <c r="B11" s="557" t="s">
        <v>143</v>
      </c>
      <c r="C11" s="558"/>
      <c r="D11" s="35"/>
      <c r="E11" s="30"/>
      <c r="F11" s="30"/>
      <c r="G11" s="30"/>
    </row>
    <row r="12" spans="1:7" x14ac:dyDescent="0.25">
      <c r="A12" s="32"/>
      <c r="B12" s="51"/>
      <c r="C12" s="335"/>
      <c r="D12" s="35"/>
      <c r="F12" s="330"/>
      <c r="G12" s="330"/>
    </row>
    <row r="13" spans="1:7" x14ac:dyDescent="0.25">
      <c r="A13" s="32"/>
      <c r="B13" s="51"/>
      <c r="C13" s="335"/>
      <c r="D13" s="35"/>
      <c r="F13" s="330"/>
      <c r="G13" s="330"/>
    </row>
    <row r="14" spans="1:7" x14ac:dyDescent="0.25">
      <c r="A14" s="32"/>
      <c r="B14" s="352"/>
      <c r="C14" s="335"/>
      <c r="D14" s="35"/>
      <c r="F14" s="330"/>
      <c r="G14" s="330"/>
    </row>
    <row r="15" spans="1:7" x14ac:dyDescent="0.25">
      <c r="A15" s="32"/>
      <c r="B15" s="336" t="s">
        <v>51</v>
      </c>
      <c r="C15" s="311">
        <f>SUM(C4:C14)</f>
        <v>0</v>
      </c>
      <c r="D15" s="329"/>
      <c r="E15" s="30"/>
      <c r="F15" s="30"/>
      <c r="G15" s="30"/>
    </row>
    <row r="16" spans="1:7" x14ac:dyDescent="0.25">
      <c r="A16" s="32"/>
      <c r="B16" s="7"/>
      <c r="C16" s="310"/>
      <c r="D16" s="35"/>
      <c r="E16" s="30"/>
      <c r="F16" s="30"/>
      <c r="G16" s="30"/>
    </row>
    <row r="17" spans="1:7" x14ac:dyDescent="0.25">
      <c r="A17" s="32"/>
      <c r="B17" s="7"/>
      <c r="C17" s="310"/>
      <c r="D17" s="35"/>
      <c r="E17" s="30"/>
      <c r="F17" s="30"/>
      <c r="G17" s="30"/>
    </row>
    <row r="18" spans="1:7" x14ac:dyDescent="0.25">
      <c r="B18" s="338" t="s">
        <v>1</v>
      </c>
      <c r="C18" s="339"/>
      <c r="D18" s="35"/>
      <c r="E18" s="314"/>
      <c r="F18" s="30"/>
      <c r="G18" s="30"/>
    </row>
    <row r="19" spans="1:7" x14ac:dyDescent="0.25">
      <c r="A19" s="32"/>
      <c r="B19" s="30"/>
      <c r="C19" s="310"/>
      <c r="D19" s="35"/>
      <c r="E19" s="30"/>
      <c r="F19" s="30"/>
      <c r="G19" s="30"/>
    </row>
    <row r="20" spans="1:7" x14ac:dyDescent="0.25">
      <c r="A20" s="309"/>
      <c r="B20" s="553" t="s">
        <v>144</v>
      </c>
      <c r="C20" s="553"/>
      <c r="D20" s="35"/>
      <c r="E20" s="314"/>
      <c r="F20" s="37"/>
      <c r="G20" s="30"/>
    </row>
    <row r="21" spans="1:7" x14ac:dyDescent="0.25">
      <c r="A21" s="32"/>
      <c r="B21" s="41" t="s">
        <v>160</v>
      </c>
      <c r="C21" s="335"/>
      <c r="D21" s="35"/>
      <c r="E21" s="30"/>
      <c r="F21" s="30"/>
      <c r="G21" s="30"/>
    </row>
    <row r="22" spans="1:7" x14ac:dyDescent="0.25">
      <c r="A22" s="32"/>
      <c r="B22" s="41" t="s">
        <v>182</v>
      </c>
      <c r="C22" s="335"/>
      <c r="D22" s="35"/>
      <c r="E22" s="30"/>
      <c r="F22" s="30"/>
      <c r="G22" s="30"/>
    </row>
    <row r="23" spans="1:7" x14ac:dyDescent="0.25">
      <c r="A23" s="32"/>
      <c r="B23" s="41" t="s">
        <v>183</v>
      </c>
      <c r="C23" s="335"/>
      <c r="D23" s="35"/>
      <c r="E23" s="30"/>
      <c r="F23" s="30"/>
      <c r="G23" s="30"/>
    </row>
    <row r="24" spans="1:7" x14ac:dyDescent="0.25">
      <c r="A24" s="32"/>
      <c r="B24" s="41" t="s">
        <v>161</v>
      </c>
      <c r="C24" s="335"/>
      <c r="D24" s="35"/>
      <c r="E24" s="30"/>
      <c r="F24" s="30"/>
      <c r="G24" s="30"/>
    </row>
    <row r="25" spans="1:7" x14ac:dyDescent="0.25">
      <c r="A25" s="32"/>
      <c r="B25" s="41" t="s">
        <v>167</v>
      </c>
      <c r="C25" s="335"/>
      <c r="D25" s="35"/>
      <c r="E25" s="30"/>
      <c r="F25" s="30"/>
      <c r="G25" s="30"/>
    </row>
    <row r="26" spans="1:7" x14ac:dyDescent="0.25">
      <c r="A26" s="32"/>
      <c r="B26" s="380" t="s">
        <v>209</v>
      </c>
      <c r="C26" s="381"/>
      <c r="D26" s="35"/>
      <c r="E26" s="30"/>
      <c r="F26" s="30"/>
      <c r="G26" s="30"/>
    </row>
    <row r="27" spans="1:7" x14ac:dyDescent="0.25">
      <c r="A27" s="32"/>
      <c r="B27" s="41" t="s">
        <v>168</v>
      </c>
      <c r="C27" s="335"/>
      <c r="D27" s="35"/>
      <c r="E27" s="30"/>
      <c r="F27" s="30"/>
      <c r="G27" s="30"/>
    </row>
    <row r="28" spans="1:7" x14ac:dyDescent="0.25">
      <c r="A28" s="32"/>
      <c r="B28" s="41" t="s">
        <v>162</v>
      </c>
      <c r="C28" s="335"/>
      <c r="D28" s="35"/>
      <c r="E28" s="30"/>
      <c r="F28" s="30"/>
      <c r="G28" s="30"/>
    </row>
    <row r="29" spans="1:7" x14ac:dyDescent="0.25">
      <c r="A29" s="32"/>
      <c r="B29" s="41" t="s">
        <v>169</v>
      </c>
      <c r="C29" s="335"/>
      <c r="D29" s="35"/>
      <c r="E29" s="30"/>
      <c r="F29" s="30"/>
      <c r="G29" s="30"/>
    </row>
    <row r="30" spans="1:7" x14ac:dyDescent="0.25">
      <c r="A30" s="32"/>
      <c r="B30" s="41" t="s">
        <v>170</v>
      </c>
      <c r="C30" s="335"/>
      <c r="D30" s="35"/>
      <c r="E30" s="30"/>
      <c r="F30" s="30"/>
      <c r="G30" s="30"/>
    </row>
    <row r="31" spans="1:7" x14ac:dyDescent="0.25">
      <c r="A31" s="32"/>
      <c r="B31" s="41" t="s">
        <v>193</v>
      </c>
      <c r="C31" s="357">
        <f>'Externer Wirtschaftsdienst'!C12</f>
        <v>0</v>
      </c>
      <c r="D31" s="35"/>
      <c r="E31" s="30"/>
      <c r="F31" s="30"/>
      <c r="G31" s="30"/>
    </row>
    <row r="32" spans="1:7" x14ac:dyDescent="0.25">
      <c r="A32" s="32"/>
      <c r="B32" s="41" t="s">
        <v>194</v>
      </c>
      <c r="C32" s="357">
        <f>'Externer Wirtschaftsdienst'!C22</f>
        <v>0</v>
      </c>
      <c r="D32" s="35"/>
      <c r="E32" s="30"/>
      <c r="F32" s="30"/>
      <c r="G32" s="30"/>
    </row>
    <row r="33" spans="1:7" x14ac:dyDescent="0.25">
      <c r="A33" s="32"/>
      <c r="B33" s="41" t="s">
        <v>195</v>
      </c>
      <c r="C33" s="357">
        <f>'Externer Wirtschaftsdienst'!C33</f>
        <v>0</v>
      </c>
      <c r="D33" s="35"/>
      <c r="E33" s="30"/>
      <c r="F33" s="30"/>
      <c r="G33" s="30"/>
    </row>
    <row r="34" spans="1:7" x14ac:dyDescent="0.25">
      <c r="A34" s="32"/>
      <c r="B34" s="41" t="s">
        <v>171</v>
      </c>
      <c r="C34" s="335"/>
      <c r="D34" s="35"/>
      <c r="E34" s="30"/>
      <c r="F34" s="30"/>
      <c r="G34" s="30"/>
    </row>
    <row r="35" spans="1:7" x14ac:dyDescent="0.25">
      <c r="A35" s="32"/>
      <c r="B35" s="41" t="s">
        <v>206</v>
      </c>
      <c r="C35" s="335"/>
      <c r="D35" s="35"/>
      <c r="E35" s="30"/>
      <c r="F35" s="30"/>
      <c r="G35" s="30"/>
    </row>
    <row r="36" spans="1:7" x14ac:dyDescent="0.25">
      <c r="A36" s="32"/>
      <c r="B36" s="41" t="s">
        <v>163</v>
      </c>
      <c r="C36" s="335"/>
      <c r="D36" s="35"/>
      <c r="E36" s="30"/>
      <c r="F36" s="30"/>
      <c r="G36" s="30"/>
    </row>
    <row r="37" spans="1:7" x14ac:dyDescent="0.25">
      <c r="A37" s="32"/>
      <c r="B37" s="41" t="s">
        <v>164</v>
      </c>
      <c r="C37" s="335"/>
      <c r="D37" s="35"/>
      <c r="E37" s="30"/>
      <c r="F37" s="30"/>
      <c r="G37" s="30"/>
    </row>
    <row r="38" spans="1:7" x14ac:dyDescent="0.25">
      <c r="A38" s="32"/>
      <c r="B38" s="41" t="s">
        <v>165</v>
      </c>
      <c r="C38" s="335"/>
      <c r="D38" s="35"/>
      <c r="E38" s="30"/>
      <c r="F38" s="30"/>
      <c r="G38" s="30"/>
    </row>
    <row r="39" spans="1:7" x14ac:dyDescent="0.25">
      <c r="A39" s="32"/>
      <c r="B39" s="51"/>
      <c r="C39" s="335"/>
      <c r="D39" s="35"/>
      <c r="E39" s="30"/>
      <c r="F39" s="30"/>
      <c r="G39" s="30"/>
    </row>
    <row r="40" spans="1:7" x14ac:dyDescent="0.25">
      <c r="A40" s="32"/>
      <c r="B40" s="336" t="s">
        <v>51</v>
      </c>
      <c r="C40" s="311">
        <f>SUM(C21:C25)+SUM(C27:C39)-C26</f>
        <v>0</v>
      </c>
      <c r="D40" s="329"/>
      <c r="E40" s="30"/>
      <c r="F40" s="30"/>
      <c r="G40" s="30"/>
    </row>
    <row r="41" spans="1:7" x14ac:dyDescent="0.25">
      <c r="A41" s="32"/>
      <c r="B41" s="7"/>
      <c r="C41" s="310"/>
      <c r="D41" s="35"/>
      <c r="E41" s="30"/>
      <c r="F41" s="30"/>
      <c r="G41" s="30"/>
    </row>
    <row r="42" spans="1:7" x14ac:dyDescent="0.25">
      <c r="A42" s="309"/>
      <c r="B42" s="553" t="s">
        <v>2</v>
      </c>
      <c r="C42" s="553"/>
      <c r="D42" s="35"/>
      <c r="E42" s="314"/>
      <c r="F42" s="30"/>
      <c r="G42" s="30"/>
    </row>
    <row r="43" spans="1:7" x14ac:dyDescent="0.25">
      <c r="A43" s="32"/>
      <c r="B43" s="51"/>
      <c r="C43" s="335"/>
      <c r="D43" s="35"/>
      <c r="E43" s="30"/>
      <c r="F43" s="30"/>
      <c r="G43" s="30"/>
    </row>
    <row r="44" spans="1:7" x14ac:dyDescent="0.25">
      <c r="A44" s="32"/>
      <c r="B44" s="51"/>
      <c r="C44" s="335"/>
      <c r="D44" s="35"/>
      <c r="E44" s="30"/>
      <c r="F44" s="30"/>
      <c r="G44" s="30"/>
    </row>
    <row r="45" spans="1:7" x14ac:dyDescent="0.25">
      <c r="A45" s="32"/>
      <c r="B45" s="337" t="s">
        <v>51</v>
      </c>
      <c r="C45" s="311">
        <f>SUM(C43:C44)</f>
        <v>0</v>
      </c>
      <c r="D45" s="329"/>
      <c r="E45" s="30"/>
      <c r="F45" s="30"/>
      <c r="G45" s="30"/>
    </row>
    <row r="47" spans="1:7" x14ac:dyDescent="0.25">
      <c r="A47" s="309"/>
      <c r="B47" s="553" t="s">
        <v>3</v>
      </c>
      <c r="C47" s="553"/>
      <c r="D47" s="35"/>
      <c r="E47" s="314"/>
      <c r="F47" s="30"/>
      <c r="G47" s="30"/>
    </row>
    <row r="48" spans="1:7" x14ac:dyDescent="0.25">
      <c r="A48" s="32"/>
      <c r="B48" s="51" t="s">
        <v>3</v>
      </c>
      <c r="C48" s="335"/>
      <c r="D48" s="35"/>
      <c r="E48" s="30"/>
      <c r="F48" s="30"/>
      <c r="G48" s="30"/>
    </row>
    <row r="49" spans="1:7" x14ac:dyDescent="0.25">
      <c r="A49" s="32"/>
      <c r="B49" s="51" t="s">
        <v>295</v>
      </c>
      <c r="C49" s="335"/>
      <c r="D49" s="35"/>
      <c r="E49" s="30"/>
      <c r="F49" s="30"/>
      <c r="G49" s="30"/>
    </row>
    <row r="50" spans="1:7" x14ac:dyDescent="0.25">
      <c r="A50" s="32"/>
      <c r="B50" s="337" t="s">
        <v>51</v>
      </c>
      <c r="C50" s="311">
        <f>SUM(C48:C49)</f>
        <v>0</v>
      </c>
      <c r="D50" s="329"/>
      <c r="E50" s="30"/>
      <c r="F50" s="30"/>
      <c r="G50" s="30"/>
    </row>
    <row r="52" spans="1:7" x14ac:dyDescent="0.25">
      <c r="A52" s="309"/>
      <c r="B52" s="553" t="s">
        <v>166</v>
      </c>
      <c r="C52" s="553"/>
      <c r="D52" s="35"/>
    </row>
    <row r="53" spans="1:7" x14ac:dyDescent="0.25">
      <c r="A53" s="32"/>
      <c r="B53" s="51" t="s">
        <v>296</v>
      </c>
      <c r="C53" s="335"/>
      <c r="D53" s="35"/>
    </row>
    <row r="54" spans="1:7" x14ac:dyDescent="0.25">
      <c r="A54" s="32"/>
      <c r="B54" s="51"/>
      <c r="C54" s="335"/>
      <c r="D54" s="35"/>
      <c r="E54" s="30"/>
      <c r="F54" s="30"/>
      <c r="G54" s="30"/>
    </row>
    <row r="55" spans="1:7" x14ac:dyDescent="0.25">
      <c r="A55" s="32"/>
      <c r="B55" s="51"/>
      <c r="C55" s="335"/>
      <c r="D55" s="35"/>
      <c r="E55" s="30"/>
      <c r="F55" s="30"/>
      <c r="G55" s="30"/>
    </row>
    <row r="56" spans="1:7" x14ac:dyDescent="0.25">
      <c r="A56" s="32"/>
      <c r="B56" s="337" t="s">
        <v>51</v>
      </c>
      <c r="C56" s="311">
        <f>SUM(C53:C55)</f>
        <v>0</v>
      </c>
      <c r="D56" s="35"/>
      <c r="E56" s="30"/>
      <c r="F56" s="30"/>
      <c r="G56" s="30"/>
    </row>
    <row r="57" spans="1:7" x14ac:dyDescent="0.25">
      <c r="A57" s="309"/>
      <c r="B57" s="331"/>
      <c r="C57" s="332"/>
      <c r="D57" s="35"/>
      <c r="E57" s="314"/>
      <c r="F57" s="30"/>
      <c r="G57" s="30"/>
    </row>
    <row r="58" spans="1:7" x14ac:dyDescent="0.25">
      <c r="A58" s="309"/>
      <c r="B58" s="312"/>
      <c r="C58" s="333"/>
      <c r="D58" s="35"/>
      <c r="E58" s="314"/>
      <c r="F58" s="30"/>
      <c r="G58" s="30"/>
    </row>
    <row r="59" spans="1:7" x14ac:dyDescent="0.25">
      <c r="A59" s="32"/>
      <c r="B59" s="13"/>
      <c r="C59" s="310"/>
      <c r="D59" s="35"/>
      <c r="E59" s="30"/>
      <c r="F59" s="30"/>
      <c r="G59" s="30"/>
    </row>
    <row r="60" spans="1:7" x14ac:dyDescent="0.25">
      <c r="A60" s="32"/>
    </row>
    <row r="61" spans="1:7" x14ac:dyDescent="0.25">
      <c r="A61" s="32"/>
    </row>
  </sheetData>
  <sheetProtection algorithmName="SHA-512" hashValue="rC/+S3e06zwRPnH9KQ/FRngs1IwX/6Ccu15Nqd1DjvHQ9Tr62i65TYwdZqLtawHsXH67vdmQ12B8/+L6TeJ20A==" saltValue="FYIgc96twFXcQvyfJ2JavQ==" spinCount="100000" sheet="1" objects="1" scenarios="1" formatCells="0"/>
  <mergeCells count="7">
    <mergeCell ref="B47:C47"/>
    <mergeCell ref="B52:C52"/>
    <mergeCell ref="B1:E1"/>
    <mergeCell ref="B3:C3"/>
    <mergeCell ref="B11:C11"/>
    <mergeCell ref="B20:C20"/>
    <mergeCell ref="B42:C42"/>
  </mergeCells>
  <pageMargins left="0.7" right="0.7" top="0.78740157499999996" bottom="0.78740157499999996" header="0.3" footer="0.3"/>
  <pageSetup paperSize="9" scale="95" orientation="landscape" r:id="rId1"/>
  <headerFooter>
    <oddFooter>&amp;L&amp;"Arial,Standard"&amp;8Datum des Ausdrucks
&amp;D&amp;C&amp;"Arial,Standard"&amp;8Kalkulationsdatei Assistenzleistungen 
Rahmenvertrag 3 Version 1.0&amp;R&amp;"Arial,Standard"&amp;8 Sachkosten
Seite &amp;P von &amp;N</oddFooter>
  </headerFooter>
  <rowBreaks count="1" manualBreakCount="1">
    <brk id="40"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B1:J104"/>
  <sheetViews>
    <sheetView showGridLines="0" zoomScaleNormal="100" workbookViewId="0">
      <selection activeCell="C4" sqref="C4"/>
    </sheetView>
  </sheetViews>
  <sheetFormatPr baseColWidth="10" defaultColWidth="11.5546875" defaultRowHeight="13.2" x14ac:dyDescent="0.25"/>
  <cols>
    <col min="1" max="1" width="11.5546875" style="1"/>
    <col min="2" max="2" width="53.44140625" style="1" customWidth="1"/>
    <col min="3" max="3" width="18.33203125" style="1" customWidth="1"/>
    <col min="4" max="4" width="11.5546875" style="1"/>
    <col min="5" max="5" width="14.44140625" style="1" customWidth="1"/>
    <col min="6" max="6" width="14.88671875" style="1" customWidth="1"/>
    <col min="7" max="7" width="12" style="1" bestFit="1" customWidth="1"/>
    <col min="8" max="16384" width="11.5546875" style="1"/>
  </cols>
  <sheetData>
    <row r="1" spans="2:10" ht="26.4" customHeight="1" x14ac:dyDescent="0.25">
      <c r="B1" s="37"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row>
    <row r="3" spans="2:10" ht="28.95" customHeight="1" x14ac:dyDescent="0.25">
      <c r="B3" s="354" t="s">
        <v>190</v>
      </c>
      <c r="C3" s="355"/>
      <c r="D3" s="35"/>
      <c r="E3" s="30"/>
      <c r="F3" s="30"/>
      <c r="G3" s="30"/>
    </row>
    <row r="4" spans="2:10" ht="14.4" customHeight="1" x14ac:dyDescent="0.25">
      <c r="B4" s="253" t="s">
        <v>184</v>
      </c>
      <c r="C4" s="335"/>
      <c r="D4" s="35"/>
      <c r="E4" s="7"/>
      <c r="F4" s="30"/>
      <c r="G4" s="30"/>
      <c r="J4" s="378">
        <v>0</v>
      </c>
    </row>
    <row r="5" spans="2:10" x14ac:dyDescent="0.25">
      <c r="B5" s="132" t="s">
        <v>185</v>
      </c>
      <c r="C5" s="401"/>
      <c r="E5" s="250"/>
      <c r="J5" s="426">
        <f>J4+0.01</f>
        <v>0.01</v>
      </c>
    </row>
    <row r="6" spans="2:10" x14ac:dyDescent="0.25">
      <c r="B6" s="132" t="s">
        <v>187</v>
      </c>
      <c r="C6" s="356">
        <f>C4*C5</f>
        <v>0</v>
      </c>
      <c r="E6" s="559" t="s">
        <v>199</v>
      </c>
      <c r="F6" s="559"/>
      <c r="G6" s="358"/>
      <c r="J6" s="426">
        <f>J5+0.01</f>
        <v>0.02</v>
      </c>
    </row>
    <row r="7" spans="2:10" x14ac:dyDescent="0.25">
      <c r="B7" s="132" t="s">
        <v>186</v>
      </c>
      <c r="C7" s="356">
        <f>C4-C6</f>
        <v>0</v>
      </c>
      <c r="E7" s="559" t="s">
        <v>200</v>
      </c>
      <c r="F7" s="559"/>
      <c r="G7" s="359">
        <f>(G6*Kalkulationsblatt!C17*52.18)+(G6*Kalkulationsblatt!C17*52.18)*'PK AG_Brutto'!D4</f>
        <v>0</v>
      </c>
      <c r="J7" s="426">
        <f>J6+0.01</f>
        <v>0.03</v>
      </c>
    </row>
    <row r="8" spans="2:10" x14ac:dyDescent="0.25">
      <c r="B8" s="132" t="s">
        <v>243</v>
      </c>
      <c r="C8" s="403"/>
      <c r="D8" s="378">
        <f>IF(($C$8+$C$10)=0,0,ROUND((C8-C9)/($C$8+$C$10),2))</f>
        <v>0</v>
      </c>
      <c r="E8" s="559" t="s">
        <v>202</v>
      </c>
      <c r="F8" s="559"/>
      <c r="G8" s="360" t="str">
        <f>'PK Zusammenfassung'!Q6</f>
        <v/>
      </c>
      <c r="J8" s="426">
        <f>J7+0.01</f>
        <v>0.04</v>
      </c>
    </row>
    <row r="9" spans="2:10" x14ac:dyDescent="0.25">
      <c r="B9" s="132" t="s">
        <v>244</v>
      </c>
      <c r="C9" s="403"/>
      <c r="D9" s="378">
        <f>IF(($C$8+$C$10)=0,0,ROUND(C9/($C$8+$C$10),2))</f>
        <v>0</v>
      </c>
      <c r="E9" s="377"/>
      <c r="F9" s="377"/>
      <c r="G9" s="379"/>
      <c r="I9" s="138"/>
      <c r="J9" s="426">
        <f>J8+0.01</f>
        <v>0.05</v>
      </c>
    </row>
    <row r="10" spans="2:10" x14ac:dyDescent="0.25">
      <c r="B10" s="132" t="s">
        <v>245</v>
      </c>
      <c r="C10" s="403"/>
      <c r="D10" s="378">
        <f>IF(($C$8+$C$10)=0,0,ROUND(C10/($C$8+$C$10),2))</f>
        <v>0</v>
      </c>
      <c r="J10" s="426">
        <v>0.06</v>
      </c>
    </row>
    <row r="11" spans="2:10" x14ac:dyDescent="0.25">
      <c r="B11" s="132" t="s">
        <v>208</v>
      </c>
      <c r="C11" s="356">
        <f>C4*D9</f>
        <v>0</v>
      </c>
      <c r="J11" s="426">
        <v>7.0000000000000007E-2</v>
      </c>
    </row>
    <row r="12" spans="2:10" x14ac:dyDescent="0.25">
      <c r="B12" s="132" t="s">
        <v>188</v>
      </c>
      <c r="C12" s="356">
        <f>C4-C11-C13</f>
        <v>0</v>
      </c>
      <c r="E12" s="513" t="s">
        <v>201</v>
      </c>
      <c r="F12" s="513"/>
      <c r="I12" s="250"/>
      <c r="J12" s="426">
        <v>0.08</v>
      </c>
    </row>
    <row r="13" spans="2:10" x14ac:dyDescent="0.25">
      <c r="B13" s="132" t="s">
        <v>189</v>
      </c>
      <c r="C13" s="356">
        <f>C7*D8</f>
        <v>0</v>
      </c>
      <c r="D13" s="34"/>
      <c r="E13" s="130" t="s">
        <v>203</v>
      </c>
      <c r="F13" s="130" t="s">
        <v>204</v>
      </c>
      <c r="I13" s="250"/>
      <c r="J13" s="426">
        <v>0.09</v>
      </c>
    </row>
    <row r="14" spans="2:10" x14ac:dyDescent="0.25">
      <c r="B14" s="132" t="s">
        <v>196</v>
      </c>
      <c r="C14" s="229"/>
      <c r="E14" s="361" t="e">
        <f>C13/$G$7</f>
        <v>#DIV/0!</v>
      </c>
      <c r="F14" s="361" t="e">
        <f>C13/$G$8</f>
        <v>#VALUE!</v>
      </c>
      <c r="I14" s="250"/>
      <c r="J14" s="426">
        <v>0.1</v>
      </c>
    </row>
    <row r="15" spans="2:10" x14ac:dyDescent="0.25">
      <c r="I15" s="250"/>
      <c r="J15" s="426">
        <v>0.11</v>
      </c>
    </row>
    <row r="16" spans="2:10" x14ac:dyDescent="0.25">
      <c r="I16" s="250"/>
      <c r="J16" s="426">
        <v>0.12</v>
      </c>
    </row>
    <row r="17" spans="2:10" ht="28.95" customHeight="1" x14ac:dyDescent="0.25">
      <c r="B17" s="354" t="s">
        <v>191</v>
      </c>
      <c r="C17" s="355"/>
      <c r="I17" s="250"/>
      <c r="J17" s="426">
        <v>0.13</v>
      </c>
    </row>
    <row r="18" spans="2:10" x14ac:dyDescent="0.25">
      <c r="B18" s="253" t="s">
        <v>184</v>
      </c>
      <c r="C18" s="335"/>
      <c r="I18" s="250"/>
      <c r="J18" s="426">
        <v>0.14000000000000001</v>
      </c>
    </row>
    <row r="19" spans="2:10" x14ac:dyDescent="0.25">
      <c r="B19" s="132" t="s">
        <v>185</v>
      </c>
      <c r="C19" s="401"/>
      <c r="I19" s="250"/>
      <c r="J19" s="426">
        <v>0.15</v>
      </c>
    </row>
    <row r="20" spans="2:10" x14ac:dyDescent="0.25">
      <c r="B20" s="132" t="s">
        <v>187</v>
      </c>
      <c r="C20" s="356">
        <f>C18*C19</f>
        <v>0</v>
      </c>
      <c r="I20" s="250"/>
      <c r="J20" s="426">
        <v>0.16</v>
      </c>
    </row>
    <row r="21" spans="2:10" x14ac:dyDescent="0.25">
      <c r="B21" s="132" t="s">
        <v>186</v>
      </c>
      <c r="C21" s="356">
        <f>C18-C20</f>
        <v>0</v>
      </c>
      <c r="I21" s="250"/>
      <c r="J21" s="426">
        <v>0.17</v>
      </c>
    </row>
    <row r="22" spans="2:10" x14ac:dyDescent="0.25">
      <c r="B22" s="132" t="s">
        <v>188</v>
      </c>
      <c r="C22" s="356">
        <f>C20</f>
        <v>0</v>
      </c>
      <c r="E22" s="513" t="s">
        <v>201</v>
      </c>
      <c r="F22" s="513"/>
      <c r="I22" s="250"/>
      <c r="J22" s="426">
        <v>0.18</v>
      </c>
    </row>
    <row r="23" spans="2:10" x14ac:dyDescent="0.25">
      <c r="B23" s="132" t="s">
        <v>189</v>
      </c>
      <c r="C23" s="356">
        <f>C21</f>
        <v>0</v>
      </c>
      <c r="E23" s="130" t="s">
        <v>203</v>
      </c>
      <c r="F23" s="130" t="s">
        <v>204</v>
      </c>
      <c r="I23" s="250"/>
      <c r="J23" s="426">
        <v>0.19</v>
      </c>
    </row>
    <row r="24" spans="2:10" x14ac:dyDescent="0.25">
      <c r="B24" s="132" t="s">
        <v>197</v>
      </c>
      <c r="C24" s="229"/>
      <c r="E24" s="361" t="e">
        <f>C23/$G$7</f>
        <v>#DIV/0!</v>
      </c>
      <c r="F24" s="361" t="e">
        <f>C23/$G$8</f>
        <v>#VALUE!</v>
      </c>
      <c r="I24" s="250"/>
      <c r="J24" s="426">
        <v>0.2</v>
      </c>
    </row>
    <row r="25" spans="2:10" x14ac:dyDescent="0.25">
      <c r="I25" s="250"/>
      <c r="J25" s="426">
        <v>0.21</v>
      </c>
    </row>
    <row r="26" spans="2:10" x14ac:dyDescent="0.25">
      <c r="I26" s="250"/>
      <c r="J26" s="426">
        <v>0.22</v>
      </c>
    </row>
    <row r="27" spans="2:10" ht="28.95" customHeight="1" x14ac:dyDescent="0.25">
      <c r="B27" s="354" t="s">
        <v>192</v>
      </c>
      <c r="C27" s="355"/>
      <c r="I27" s="250"/>
      <c r="J27" s="426">
        <v>0.23</v>
      </c>
    </row>
    <row r="28" spans="2:10" x14ac:dyDescent="0.25">
      <c r="B28" s="253" t="s">
        <v>184</v>
      </c>
      <c r="C28" s="335"/>
      <c r="I28" s="250"/>
      <c r="J28" s="426">
        <v>0.24</v>
      </c>
    </row>
    <row r="29" spans="2:10" x14ac:dyDescent="0.25">
      <c r="B29" s="253" t="s">
        <v>210</v>
      </c>
      <c r="C29" s="383"/>
      <c r="I29" s="250"/>
      <c r="J29" s="426">
        <v>0.25</v>
      </c>
    </row>
    <row r="30" spans="2:10" x14ac:dyDescent="0.25">
      <c r="B30" s="253" t="s">
        <v>212</v>
      </c>
      <c r="C30" s="402"/>
      <c r="I30" s="250"/>
      <c r="J30" s="426">
        <v>0.26</v>
      </c>
    </row>
    <row r="31" spans="2:10" x14ac:dyDescent="0.25">
      <c r="B31" s="132" t="s">
        <v>211</v>
      </c>
      <c r="C31" s="401"/>
      <c r="I31" s="250"/>
      <c r="J31" s="426">
        <v>0.27</v>
      </c>
    </row>
    <row r="32" spans="2:10" x14ac:dyDescent="0.25">
      <c r="B32" s="132" t="s">
        <v>213</v>
      </c>
      <c r="C32" s="382">
        <f>1-C31-C30</f>
        <v>1</v>
      </c>
      <c r="I32" s="250"/>
      <c r="J32" s="426">
        <v>0.28000000000000003</v>
      </c>
    </row>
    <row r="33" spans="2:10" x14ac:dyDescent="0.25">
      <c r="B33" s="132" t="s">
        <v>188</v>
      </c>
      <c r="C33" s="356">
        <f>C28*C31</f>
        <v>0</v>
      </c>
      <c r="E33" s="513" t="s">
        <v>201</v>
      </c>
      <c r="F33" s="513"/>
      <c r="J33" s="426">
        <v>0.28999999999999998</v>
      </c>
    </row>
    <row r="34" spans="2:10" x14ac:dyDescent="0.25">
      <c r="B34" s="132" t="s">
        <v>189</v>
      </c>
      <c r="C34" s="356">
        <f>C28*C32</f>
        <v>0</v>
      </c>
      <c r="E34" s="130" t="s">
        <v>203</v>
      </c>
      <c r="F34" s="130" t="s">
        <v>204</v>
      </c>
      <c r="J34" s="426">
        <v>0.3</v>
      </c>
    </row>
    <row r="35" spans="2:10" x14ac:dyDescent="0.25">
      <c r="B35" s="132" t="s">
        <v>198</v>
      </c>
      <c r="C35" s="229"/>
      <c r="E35" s="361" t="e">
        <f>C34/$G$7</f>
        <v>#DIV/0!</v>
      </c>
      <c r="F35" s="361" t="e">
        <f>C34/$G$8</f>
        <v>#VALUE!</v>
      </c>
      <c r="J35" s="426">
        <v>0.31</v>
      </c>
    </row>
    <row r="36" spans="2:10" x14ac:dyDescent="0.25">
      <c r="J36" s="426">
        <v>0.32</v>
      </c>
    </row>
    <row r="37" spans="2:10" x14ac:dyDescent="0.25">
      <c r="J37" s="426">
        <v>0.33</v>
      </c>
    </row>
    <row r="38" spans="2:10" x14ac:dyDescent="0.25">
      <c r="J38" s="426">
        <v>0.34</v>
      </c>
    </row>
    <row r="39" spans="2:10" x14ac:dyDescent="0.25">
      <c r="J39" s="426">
        <v>0.35</v>
      </c>
    </row>
    <row r="40" spans="2:10" x14ac:dyDescent="0.25">
      <c r="J40" s="426">
        <v>0.36</v>
      </c>
    </row>
    <row r="41" spans="2:10" x14ac:dyDescent="0.25">
      <c r="J41" s="426">
        <v>0.37</v>
      </c>
    </row>
    <row r="42" spans="2:10" x14ac:dyDescent="0.25">
      <c r="J42" s="426">
        <v>0.38</v>
      </c>
    </row>
    <row r="43" spans="2:10" x14ac:dyDescent="0.25">
      <c r="J43" s="426">
        <v>0.39</v>
      </c>
    </row>
    <row r="44" spans="2:10" x14ac:dyDescent="0.25">
      <c r="J44" s="426">
        <v>0.4</v>
      </c>
    </row>
    <row r="45" spans="2:10" x14ac:dyDescent="0.25">
      <c r="J45" s="426">
        <v>0.41</v>
      </c>
    </row>
    <row r="46" spans="2:10" x14ac:dyDescent="0.25">
      <c r="J46" s="426">
        <v>0.42</v>
      </c>
    </row>
    <row r="47" spans="2:10" x14ac:dyDescent="0.25">
      <c r="J47" s="426">
        <v>0.43</v>
      </c>
    </row>
    <row r="48" spans="2:10" x14ac:dyDescent="0.25">
      <c r="J48" s="426">
        <v>0.44</v>
      </c>
    </row>
    <row r="49" spans="10:10" x14ac:dyDescent="0.25">
      <c r="J49" s="426">
        <v>0.45</v>
      </c>
    </row>
    <row r="50" spans="10:10" x14ac:dyDescent="0.25">
      <c r="J50" s="426">
        <v>0.46</v>
      </c>
    </row>
    <row r="51" spans="10:10" x14ac:dyDescent="0.25">
      <c r="J51" s="426">
        <v>0.47</v>
      </c>
    </row>
    <row r="52" spans="10:10" x14ac:dyDescent="0.25">
      <c r="J52" s="426">
        <v>0.48</v>
      </c>
    </row>
    <row r="53" spans="10:10" x14ac:dyDescent="0.25">
      <c r="J53" s="426">
        <v>0.49</v>
      </c>
    </row>
    <row r="54" spans="10:10" x14ac:dyDescent="0.25">
      <c r="J54" s="426">
        <v>0.5</v>
      </c>
    </row>
    <row r="55" spans="10:10" x14ac:dyDescent="0.25">
      <c r="J55" s="426">
        <v>0.51</v>
      </c>
    </row>
    <row r="56" spans="10:10" x14ac:dyDescent="0.25">
      <c r="J56" s="426">
        <v>0.52</v>
      </c>
    </row>
    <row r="57" spans="10:10" x14ac:dyDescent="0.25">
      <c r="J57" s="426">
        <v>0.53</v>
      </c>
    </row>
    <row r="58" spans="10:10" x14ac:dyDescent="0.25">
      <c r="J58" s="426">
        <v>0.54</v>
      </c>
    </row>
    <row r="59" spans="10:10" x14ac:dyDescent="0.25">
      <c r="J59" s="426">
        <v>0.55000000000000004</v>
      </c>
    </row>
    <row r="60" spans="10:10" x14ac:dyDescent="0.25">
      <c r="J60" s="426">
        <v>0.56000000000000005</v>
      </c>
    </row>
    <row r="61" spans="10:10" x14ac:dyDescent="0.25">
      <c r="J61" s="426">
        <v>0.56999999999999995</v>
      </c>
    </row>
    <row r="62" spans="10:10" x14ac:dyDescent="0.25">
      <c r="J62" s="426">
        <v>0.57999999999999996</v>
      </c>
    </row>
    <row r="63" spans="10:10" x14ac:dyDescent="0.25">
      <c r="J63" s="426">
        <v>0.59</v>
      </c>
    </row>
    <row r="64" spans="10:10" x14ac:dyDescent="0.25">
      <c r="J64" s="426">
        <v>0.6</v>
      </c>
    </row>
    <row r="65" spans="10:10" x14ac:dyDescent="0.25">
      <c r="J65" s="426">
        <v>0.61</v>
      </c>
    </row>
    <row r="66" spans="10:10" x14ac:dyDescent="0.25">
      <c r="J66" s="426">
        <v>0.62</v>
      </c>
    </row>
    <row r="67" spans="10:10" x14ac:dyDescent="0.25">
      <c r="J67" s="426">
        <v>0.63</v>
      </c>
    </row>
    <row r="68" spans="10:10" x14ac:dyDescent="0.25">
      <c r="J68" s="426">
        <v>0.64</v>
      </c>
    </row>
    <row r="69" spans="10:10" x14ac:dyDescent="0.25">
      <c r="J69" s="426">
        <v>0.65</v>
      </c>
    </row>
    <row r="70" spans="10:10" x14ac:dyDescent="0.25">
      <c r="J70" s="426">
        <v>0.66</v>
      </c>
    </row>
    <row r="71" spans="10:10" x14ac:dyDescent="0.25">
      <c r="J71" s="426">
        <v>0.67</v>
      </c>
    </row>
    <row r="72" spans="10:10" x14ac:dyDescent="0.25">
      <c r="J72" s="426">
        <v>0.68</v>
      </c>
    </row>
    <row r="73" spans="10:10" x14ac:dyDescent="0.25">
      <c r="J73" s="426">
        <v>0.69</v>
      </c>
    </row>
    <row r="74" spans="10:10" x14ac:dyDescent="0.25">
      <c r="J74" s="426">
        <v>0.7</v>
      </c>
    </row>
    <row r="75" spans="10:10" x14ac:dyDescent="0.25">
      <c r="J75" s="426">
        <v>0.71</v>
      </c>
    </row>
    <row r="76" spans="10:10" x14ac:dyDescent="0.25">
      <c r="J76" s="426">
        <v>0.72</v>
      </c>
    </row>
    <row r="77" spans="10:10" x14ac:dyDescent="0.25">
      <c r="J77" s="426">
        <v>0.73</v>
      </c>
    </row>
    <row r="78" spans="10:10" x14ac:dyDescent="0.25">
      <c r="J78" s="426">
        <v>0.74</v>
      </c>
    </row>
    <row r="79" spans="10:10" x14ac:dyDescent="0.25">
      <c r="J79" s="426">
        <v>0.75</v>
      </c>
    </row>
    <row r="80" spans="10:10" x14ac:dyDescent="0.25">
      <c r="J80" s="426">
        <v>0.76</v>
      </c>
    </row>
    <row r="81" spans="10:10" x14ac:dyDescent="0.25">
      <c r="J81" s="426">
        <v>0.77</v>
      </c>
    </row>
    <row r="82" spans="10:10" x14ac:dyDescent="0.25">
      <c r="J82" s="426">
        <v>0.78</v>
      </c>
    </row>
    <row r="83" spans="10:10" x14ac:dyDescent="0.25">
      <c r="J83" s="426">
        <v>0.79</v>
      </c>
    </row>
    <row r="84" spans="10:10" x14ac:dyDescent="0.25">
      <c r="J84" s="426">
        <v>0.8</v>
      </c>
    </row>
    <row r="85" spans="10:10" x14ac:dyDescent="0.25">
      <c r="J85" s="426">
        <v>0.81</v>
      </c>
    </row>
    <row r="86" spans="10:10" x14ac:dyDescent="0.25">
      <c r="J86" s="426">
        <v>0.82</v>
      </c>
    </row>
    <row r="87" spans="10:10" x14ac:dyDescent="0.25">
      <c r="J87" s="426">
        <v>0.83</v>
      </c>
    </row>
    <row r="88" spans="10:10" x14ac:dyDescent="0.25">
      <c r="J88" s="426">
        <v>0.84</v>
      </c>
    </row>
    <row r="89" spans="10:10" x14ac:dyDescent="0.25">
      <c r="J89" s="426">
        <v>0.85</v>
      </c>
    </row>
    <row r="90" spans="10:10" x14ac:dyDescent="0.25">
      <c r="J90" s="426">
        <v>0.86</v>
      </c>
    </row>
    <row r="91" spans="10:10" x14ac:dyDescent="0.25">
      <c r="J91" s="426">
        <v>0.87</v>
      </c>
    </row>
    <row r="92" spans="10:10" x14ac:dyDescent="0.25">
      <c r="J92" s="426">
        <v>0.88</v>
      </c>
    </row>
    <row r="93" spans="10:10" x14ac:dyDescent="0.25">
      <c r="J93" s="426">
        <v>0.89</v>
      </c>
    </row>
    <row r="94" spans="10:10" x14ac:dyDescent="0.25">
      <c r="J94" s="426">
        <v>0.9</v>
      </c>
    </row>
    <row r="95" spans="10:10" x14ac:dyDescent="0.25">
      <c r="J95" s="426">
        <v>0.91</v>
      </c>
    </row>
    <row r="96" spans="10:10" x14ac:dyDescent="0.25">
      <c r="J96" s="426">
        <v>0.92</v>
      </c>
    </row>
    <row r="97" spans="10:10" x14ac:dyDescent="0.25">
      <c r="J97" s="426">
        <v>0.93</v>
      </c>
    </row>
    <row r="98" spans="10:10" x14ac:dyDescent="0.25">
      <c r="J98" s="426">
        <v>0.94</v>
      </c>
    </row>
    <row r="99" spans="10:10" x14ac:dyDescent="0.25">
      <c r="J99" s="426">
        <v>0.95</v>
      </c>
    </row>
    <row r="100" spans="10:10" x14ac:dyDescent="0.25">
      <c r="J100" s="426">
        <v>0.96</v>
      </c>
    </row>
    <row r="101" spans="10:10" x14ac:dyDescent="0.25">
      <c r="J101" s="426">
        <v>0.97</v>
      </c>
    </row>
    <row r="102" spans="10:10" x14ac:dyDescent="0.25">
      <c r="J102" s="426">
        <v>0.98</v>
      </c>
    </row>
    <row r="103" spans="10:10" x14ac:dyDescent="0.25">
      <c r="J103" s="426">
        <v>0.99</v>
      </c>
    </row>
    <row r="104" spans="10:10" x14ac:dyDescent="0.25">
      <c r="J104" s="426">
        <v>1</v>
      </c>
    </row>
  </sheetData>
  <sheetProtection algorithmName="SHA-512" hashValue="FTyma8TZjLgzaEwovVQsgZuj+GTkKiyoD+8N2mk3DwSHc1faZ9TqpMGKiwtHtujq8vZb9lgh/KisrkOhPEfgPQ==" saltValue="LwEyvba+Dy9oxgkeQeYkHw==" spinCount="100000" sheet="1" objects="1" scenarios="1" formatCells="0"/>
  <mergeCells count="6">
    <mergeCell ref="E33:F33"/>
    <mergeCell ref="E6:F6"/>
    <mergeCell ref="E7:F7"/>
    <mergeCell ref="E8:F8"/>
    <mergeCell ref="E12:F12"/>
    <mergeCell ref="E22:F22"/>
  </mergeCells>
  <dataValidations count="2">
    <dataValidation type="list" allowBlank="1" showInputMessage="1" showErrorMessage="1" error="Bitte geben Sie nur Prozentwert ohne Kommastellen ein. Vielen Dank!" sqref="C5" xr:uid="{00000000-0002-0000-0B00-000000000000}">
      <formula1>$J$4:$J$104</formula1>
    </dataValidation>
    <dataValidation type="list" allowBlank="1" showInputMessage="1" showErrorMessage="1" error="Bitte geben Sie nur Prozentwerte ohne Kommastellen ein. Vielen Dank!" sqref="C19 C30:C31" xr:uid="{00000000-0002-0000-0B00-000001000000}">
      <formula1>$J$4:$J$104</formula1>
    </dataValidation>
  </dataValidations>
  <pageMargins left="0.7" right="0.7" top="0.78740157499999996" bottom="0.78740157499999996" header="0.3" footer="0.3"/>
  <pageSetup paperSize="9" scale="96" fitToHeight="0" orientation="landscape" r:id="rId1"/>
  <headerFooter>
    <oddFooter>&amp;L&amp;"Arial,Standard"&amp;8Datum des Ausdrucks
&amp;D&amp;C&amp;"Arial,Standard"&amp;8Kalkulationsdatei Assistenzleistungen 
Rahmenvertrag 3 Version 1.0&amp;R &amp;"Arial,Standard"&amp;8Externer Wirtschaftsdienst
Seite &amp;P von &amp;N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1">
    <pageSetUpPr fitToPage="1"/>
  </sheetPr>
  <dimension ref="A1:F25"/>
  <sheetViews>
    <sheetView showGridLines="0" zoomScaleNormal="100" workbookViewId="0">
      <selection activeCell="B5" sqref="B5"/>
    </sheetView>
  </sheetViews>
  <sheetFormatPr baseColWidth="10" defaultColWidth="11.44140625" defaultRowHeight="13.2" x14ac:dyDescent="0.25"/>
  <cols>
    <col min="1" max="1" width="11.44140625" style="1"/>
    <col min="2" max="2" width="21.109375" style="1" customWidth="1"/>
    <col min="3" max="3" width="21.88671875" style="1" customWidth="1"/>
    <col min="4" max="4" width="19.88671875" style="1" customWidth="1"/>
    <col min="5" max="5" width="15.33203125" style="1" customWidth="1"/>
    <col min="6" max="6" width="17.109375" style="1" customWidth="1"/>
    <col min="7" max="16384" width="11.44140625" style="1"/>
  </cols>
  <sheetData>
    <row r="1" spans="1:6" x14ac:dyDescent="0.25">
      <c r="A1" s="3"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row>
    <row r="2" spans="1:6" x14ac:dyDescent="0.25">
      <c r="A2" s="3"/>
    </row>
    <row r="3" spans="1:6" ht="26.4" customHeight="1" x14ac:dyDescent="0.25">
      <c r="B3" s="518" t="s">
        <v>178</v>
      </c>
      <c r="C3" s="518"/>
      <c r="D3" s="518"/>
      <c r="E3" s="518"/>
      <c r="F3" s="518"/>
    </row>
    <row r="4" spans="1:6" ht="26.4" customHeight="1" x14ac:dyDescent="0.25">
      <c r="B4" s="107" t="s">
        <v>145</v>
      </c>
      <c r="C4" s="107" t="s">
        <v>146</v>
      </c>
      <c r="D4" s="107" t="s">
        <v>134</v>
      </c>
      <c r="E4" s="107" t="s">
        <v>147</v>
      </c>
      <c r="F4" s="107" t="s">
        <v>148</v>
      </c>
    </row>
    <row r="5" spans="1:6" x14ac:dyDescent="0.25">
      <c r="B5" s="229"/>
      <c r="C5" s="366"/>
      <c r="D5" s="366"/>
      <c r="E5" s="366"/>
      <c r="F5" s="366"/>
    </row>
    <row r="6" spans="1:6" x14ac:dyDescent="0.25">
      <c r="B6" s="229"/>
      <c r="C6" s="366"/>
      <c r="D6" s="366"/>
      <c r="E6" s="366"/>
      <c r="F6" s="366"/>
    </row>
    <row r="7" spans="1:6" x14ac:dyDescent="0.25">
      <c r="B7" s="229"/>
      <c r="C7" s="366"/>
      <c r="D7" s="366"/>
      <c r="E7" s="366"/>
      <c r="F7" s="366"/>
    </row>
    <row r="8" spans="1:6" x14ac:dyDescent="0.25">
      <c r="B8" s="229"/>
      <c r="C8" s="366"/>
      <c r="D8" s="366"/>
      <c r="E8" s="366"/>
      <c r="F8" s="366"/>
    </row>
    <row r="9" spans="1:6" x14ac:dyDescent="0.25">
      <c r="B9" s="229"/>
      <c r="C9" s="366"/>
      <c r="D9" s="366"/>
      <c r="E9" s="366"/>
      <c r="F9" s="366"/>
    </row>
    <row r="10" spans="1:6" x14ac:dyDescent="0.25">
      <c r="B10" s="229"/>
      <c r="C10" s="366"/>
      <c r="D10" s="366"/>
      <c r="E10" s="366"/>
      <c r="F10" s="366"/>
    </row>
    <row r="11" spans="1:6" x14ac:dyDescent="0.25">
      <c r="B11" s="229"/>
      <c r="C11" s="366"/>
      <c r="D11" s="366"/>
      <c r="E11" s="366"/>
      <c r="F11" s="366"/>
    </row>
    <row r="12" spans="1:6" x14ac:dyDescent="0.25">
      <c r="B12" s="229"/>
      <c r="C12" s="366"/>
      <c r="D12" s="366"/>
      <c r="E12" s="366"/>
      <c r="F12" s="366"/>
    </row>
    <row r="13" spans="1:6" x14ac:dyDescent="0.25">
      <c r="B13" s="229"/>
      <c r="C13" s="366"/>
      <c r="D13" s="366"/>
      <c r="E13" s="366"/>
      <c r="F13" s="366"/>
    </row>
    <row r="14" spans="1:6" x14ac:dyDescent="0.25">
      <c r="B14" s="229"/>
      <c r="C14" s="366"/>
      <c r="D14" s="366"/>
      <c r="E14" s="366"/>
      <c r="F14" s="366"/>
    </row>
    <row r="15" spans="1:6" x14ac:dyDescent="0.25">
      <c r="B15" s="229"/>
      <c r="C15" s="366"/>
      <c r="D15" s="366"/>
      <c r="E15" s="366"/>
      <c r="F15" s="366"/>
    </row>
    <row r="16" spans="1:6" x14ac:dyDescent="0.25">
      <c r="B16" s="229"/>
      <c r="C16" s="366"/>
      <c r="D16" s="366"/>
      <c r="E16" s="366"/>
      <c r="F16" s="366"/>
    </row>
    <row r="17" spans="1:6" x14ac:dyDescent="0.25">
      <c r="B17" s="229"/>
      <c r="C17" s="366"/>
      <c r="D17" s="366"/>
      <c r="E17" s="366"/>
      <c r="F17" s="366"/>
    </row>
    <row r="18" spans="1:6" x14ac:dyDescent="0.25">
      <c r="B18" s="229"/>
      <c r="C18" s="366"/>
      <c r="D18" s="366"/>
      <c r="E18" s="366"/>
      <c r="F18" s="366"/>
    </row>
    <row r="19" spans="1:6" x14ac:dyDescent="0.25">
      <c r="B19" s="229"/>
      <c r="C19" s="366"/>
      <c r="D19" s="366"/>
      <c r="E19" s="366"/>
      <c r="F19" s="366"/>
    </row>
    <row r="20" spans="1:6" x14ac:dyDescent="0.25">
      <c r="B20" s="229"/>
      <c r="C20" s="366"/>
      <c r="D20" s="366"/>
      <c r="E20" s="366"/>
      <c r="F20" s="366"/>
    </row>
    <row r="21" spans="1:6" x14ac:dyDescent="0.25">
      <c r="B21" s="229"/>
      <c r="C21" s="366"/>
      <c r="D21" s="366"/>
      <c r="E21" s="366"/>
      <c r="F21" s="366"/>
    </row>
    <row r="22" spans="1:6" x14ac:dyDescent="0.25">
      <c r="C22" s="34"/>
      <c r="D22" s="34"/>
      <c r="E22" s="34"/>
      <c r="F22" s="34"/>
    </row>
    <row r="23" spans="1:6" ht="26.4" x14ac:dyDescent="0.25">
      <c r="A23" s="41" t="s">
        <v>149</v>
      </c>
      <c r="B23" s="349" t="s">
        <v>294</v>
      </c>
      <c r="C23" s="365"/>
      <c r="D23" s="365"/>
      <c r="E23" s="365"/>
      <c r="F23" s="206"/>
    </row>
    <row r="24" spans="1:6" x14ac:dyDescent="0.25">
      <c r="C24" s="340"/>
      <c r="D24" s="340"/>
      <c r="E24" s="340"/>
      <c r="F24" s="340"/>
    </row>
    <row r="25" spans="1:6" x14ac:dyDescent="0.25">
      <c r="B25" s="132" t="s">
        <v>150</v>
      </c>
      <c r="C25" s="206">
        <f>SUM(C5:C24)</f>
        <v>0</v>
      </c>
      <c r="D25" s="206">
        <f t="shared" ref="D25:F25" si="0">SUM(D5:D24)</f>
        <v>0</v>
      </c>
      <c r="E25" s="206">
        <f t="shared" si="0"/>
        <v>0</v>
      </c>
      <c r="F25" s="206">
        <f t="shared" si="0"/>
        <v>0</v>
      </c>
    </row>
  </sheetData>
  <sheetProtection algorithmName="SHA-512" hashValue="BV5ZkfQ4U7HDi95l441SDIwyuY/4CrkDjUSBXZrNNe43qjnCm3ITOdPHh5AJAX6Q1gvJoPqhCLePxbPxDCXppQ==" saltValue="NE06uxY18Ijdt9GGgkgTjQ==" spinCount="100000" sheet="1" objects="1" scenarios="1" formatCells="0"/>
  <mergeCells count="1">
    <mergeCell ref="B3:F3"/>
  </mergeCells>
  <pageMargins left="0.7" right="0.7" top="0.78740157499999996" bottom="0.78740157499999996" header="0.3" footer="0.3"/>
  <pageSetup paperSize="9" fitToHeight="0" orientation="landscape" r:id="rId1"/>
  <headerFooter>
    <oddFooter>&amp;L&amp;"Arial,Standard"&amp;8Datum des Ausdrucks
&amp;D&amp;C&amp;"Arial,Standard"&amp;8Kalkulationsdatei Assistenzleistungen 
Rahmenvertrag 3 Version 1.0&amp;R&amp;"Arial,Standard"&amp;8Investitionskostenaufstellung
 Seite &amp;P von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pageSetUpPr fitToPage="1"/>
  </sheetPr>
  <dimension ref="A1:K1"/>
  <sheetViews>
    <sheetView zoomScaleNormal="100" workbookViewId="0">
      <selection activeCell="F79" sqref="F79"/>
    </sheetView>
  </sheetViews>
  <sheetFormatPr baseColWidth="10" defaultColWidth="11.44140625" defaultRowHeight="13.2" x14ac:dyDescent="0.25"/>
  <cols>
    <col min="1" max="16384" width="11.44140625" style="399"/>
  </cols>
  <sheetData>
    <row r="1" spans="1:11" x14ac:dyDescent="0.25">
      <c r="A1" s="481"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c r="B1" s="481"/>
      <c r="C1" s="481"/>
      <c r="D1" s="481"/>
      <c r="E1" s="481"/>
      <c r="F1" s="481"/>
      <c r="G1" s="481"/>
      <c r="H1" s="481"/>
      <c r="I1" s="481"/>
      <c r="J1" s="481"/>
      <c r="K1" s="481"/>
    </row>
  </sheetData>
  <sheetProtection algorithmName="SHA-512" hashValue="RDmuQJK/2ozFPcIhDec84NPX9t5I5rOR6YlABmvDxCfPw5j3zrFRlLW9sA+b4uhN1M+itElUt0UK28ht6min7A==" saltValue="YfESPMEtvCOr+xOXzavOcA==" spinCount="100000" sheet="1" formatCells="0" formatColumns="0" formatRows="0" selectLockedCells="1" sort="0" autoFilter="0" pivotTables="0"/>
  <mergeCells count="1">
    <mergeCell ref="A1:K1"/>
  </mergeCells>
  <pageMargins left="0.7" right="0.7" top="0.78740157499999996" bottom="0.78740157499999996" header="0.3" footer="0.3"/>
  <pageSetup paperSize="9" scale="69" fitToHeight="0" orientation="portrait" r:id="rId1"/>
  <headerFooter>
    <oddFooter>&amp;L&amp;"Arial,Standard"&amp;8Datum des Ausdrucks
&amp;D&amp;C&amp;"Arial,Standard"&amp;8Kalkulationsdatei Assistenzleistungen 
Rahmenvertrag 3 Version 1.0&amp;R&amp;"Arial,Standard"&amp;8 ergänzende Hinweise
Seite &amp;P von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T103"/>
  <sheetViews>
    <sheetView showGridLines="0" zoomScaleNormal="100" zoomScalePageLayoutView="98" workbookViewId="0">
      <pane ySplit="6" topLeftCell="A7" activePane="bottomLeft" state="frozen"/>
      <selection pane="bottomLeft" activeCell="E89" sqref="E89:E91"/>
    </sheetView>
  </sheetViews>
  <sheetFormatPr baseColWidth="10" defaultColWidth="11.5546875" defaultRowHeight="13.2" x14ac:dyDescent="0.25"/>
  <cols>
    <col min="1" max="1" width="27.5546875" style="1" customWidth="1"/>
    <col min="2" max="2" width="20.88671875" style="1" customWidth="1"/>
    <col min="3" max="3" width="7.88671875" style="1" bestFit="1" customWidth="1"/>
    <col min="4" max="4" width="5.109375" style="1" customWidth="1"/>
    <col min="5" max="5" width="11.5546875" style="1"/>
    <col min="6" max="6" width="16.6640625" style="1" customWidth="1"/>
    <col min="7" max="7" width="19.109375" style="1" customWidth="1"/>
    <col min="8" max="8" width="15.6640625" style="1" customWidth="1"/>
    <col min="9" max="9" width="15.33203125" style="1" customWidth="1"/>
    <col min="10" max="10" width="11.5546875" style="1"/>
    <col min="11" max="11" width="12.6640625" style="1" customWidth="1"/>
    <col min="12" max="15" width="11.5546875" style="1"/>
    <col min="16" max="16" width="13.44140625" style="1" customWidth="1"/>
    <col min="17" max="17" width="11.5546875" style="1"/>
    <col min="18" max="18" width="2" style="1" customWidth="1"/>
    <col min="19" max="20" width="26.6640625" style="1" customWidth="1"/>
    <col min="21" max="16384" width="11.5546875" style="1"/>
  </cols>
  <sheetData>
    <row r="1" spans="1:20" x14ac:dyDescent="0.25">
      <c r="A1" s="481"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c r="B1" s="481"/>
      <c r="C1" s="481"/>
      <c r="D1" s="481"/>
      <c r="E1" s="481"/>
      <c r="F1" s="481"/>
      <c r="G1" s="481"/>
      <c r="H1" s="481"/>
      <c r="I1" s="481"/>
      <c r="J1" s="481"/>
      <c r="K1" s="481"/>
      <c r="L1" s="481"/>
    </row>
    <row r="2" spans="1:20" x14ac:dyDescent="0.25">
      <c r="M2" s="2"/>
    </row>
    <row r="3" spans="1:20" ht="14.4" customHeight="1" x14ac:dyDescent="0.25">
      <c r="A3" s="491" t="s">
        <v>44</v>
      </c>
      <c r="B3" s="491"/>
      <c r="C3" s="491"/>
      <c r="D3" s="491"/>
      <c r="E3" s="491"/>
      <c r="F3" s="491"/>
      <c r="G3" s="491"/>
      <c r="H3" s="491"/>
      <c r="I3" s="491"/>
      <c r="J3" s="491"/>
      <c r="K3" s="491"/>
      <c r="L3" s="442" t="s">
        <v>303</v>
      </c>
      <c r="M3" s="443">
        <v>1514</v>
      </c>
      <c r="N3" s="442" t="s">
        <v>304</v>
      </c>
      <c r="O3" s="444">
        <v>0.16</v>
      </c>
      <c r="P3" s="442" t="s">
        <v>305</v>
      </c>
      <c r="Q3" s="444">
        <v>0.125</v>
      </c>
    </row>
    <row r="4" spans="1:20" x14ac:dyDescent="0.25">
      <c r="E4" s="33"/>
      <c r="F4" s="34"/>
      <c r="G4" s="34"/>
      <c r="H4" s="34"/>
      <c r="L4" s="480" t="s">
        <v>135</v>
      </c>
      <c r="M4" s="480"/>
      <c r="N4" s="480" t="str">
        <f>TEXT(Kalkulationsblatt!C5,"")</f>
        <v/>
      </c>
      <c r="O4" s="480"/>
      <c r="P4" s="478" t="s">
        <v>140</v>
      </c>
      <c r="Q4" s="479"/>
      <c r="R4" s="275"/>
    </row>
    <row r="5" spans="1:20" ht="20.100000000000001" customHeight="1" x14ac:dyDescent="0.25">
      <c r="A5" s="482" t="s">
        <v>231</v>
      </c>
      <c r="B5" s="492" t="s">
        <v>230</v>
      </c>
      <c r="C5" s="492" t="s">
        <v>232</v>
      </c>
      <c r="D5" s="492" t="s">
        <v>233</v>
      </c>
      <c r="E5" s="483" t="s">
        <v>234</v>
      </c>
      <c r="F5" s="485" t="s">
        <v>235</v>
      </c>
      <c r="G5" s="486" t="s">
        <v>236</v>
      </c>
      <c r="H5" s="486" t="s">
        <v>237</v>
      </c>
      <c r="I5" s="477" t="s">
        <v>238</v>
      </c>
      <c r="J5" s="452" t="s">
        <v>45</v>
      </c>
      <c r="K5" s="489" t="s">
        <v>239</v>
      </c>
      <c r="L5" s="260" t="s">
        <v>136</v>
      </c>
      <c r="M5" s="260" t="s">
        <v>240</v>
      </c>
      <c r="N5" s="260" t="s">
        <v>136</v>
      </c>
      <c r="O5" s="260" t="s">
        <v>240</v>
      </c>
      <c r="P5" s="260" t="s">
        <v>136</v>
      </c>
      <c r="Q5" s="260" t="s">
        <v>240</v>
      </c>
      <c r="S5" s="477" t="s">
        <v>241</v>
      </c>
      <c r="T5" s="477" t="s">
        <v>242</v>
      </c>
    </row>
    <row r="6" spans="1:20" ht="25.5" customHeight="1" x14ac:dyDescent="0.25">
      <c r="A6" s="482"/>
      <c r="B6" s="493"/>
      <c r="C6" s="493"/>
      <c r="D6" s="493"/>
      <c r="E6" s="484"/>
      <c r="F6" s="485"/>
      <c r="G6" s="487"/>
      <c r="H6" s="488"/>
      <c r="I6" s="477"/>
      <c r="J6" s="452"/>
      <c r="K6" s="490"/>
      <c r="L6" s="267">
        <f>ROUND(M3-M3*O3,0)</f>
        <v>1272</v>
      </c>
      <c r="M6" s="267">
        <f>ROUND(M3-M3*Q3,0)</f>
        <v>1325</v>
      </c>
      <c r="N6" s="267">
        <f>IF(N7="",ROUND(L6/39*Kalkulationsblatt!$C$17,0),N7)</f>
        <v>0</v>
      </c>
      <c r="O6" s="267">
        <f>IF(O7="",ROUND(M6/39*Kalkulationsblatt!$C$17,0),O7)</f>
        <v>0</v>
      </c>
      <c r="P6" s="288" t="str">
        <f>IF(SUM(J9:J38)=0,"",SUM(H9:H38)/SUM(J9:J38))</f>
        <v/>
      </c>
      <c r="Q6" s="288" t="str">
        <f>IF(SUM(J47:J76)=0,"",SUM(H47:H76)/SUM(J47:J76))</f>
        <v/>
      </c>
      <c r="S6" s="477"/>
      <c r="T6" s="477"/>
    </row>
    <row r="7" spans="1:20" x14ac:dyDescent="0.25">
      <c r="A7" s="36"/>
      <c r="B7" s="36"/>
      <c r="C7" s="36"/>
      <c r="D7" s="36"/>
      <c r="E7" s="55"/>
      <c r="F7" s="34"/>
      <c r="G7" s="34"/>
      <c r="H7" s="34"/>
      <c r="N7" s="268"/>
      <c r="O7" s="268"/>
    </row>
    <row r="8" spans="1:20" x14ac:dyDescent="0.25">
      <c r="A8" s="37" t="s">
        <v>25</v>
      </c>
      <c r="B8" s="37"/>
      <c r="C8" s="37"/>
      <c r="D8" s="37"/>
      <c r="E8" s="39"/>
      <c r="F8" s="38"/>
      <c r="G8" s="38"/>
      <c r="H8" s="38"/>
      <c r="I8" s="38">
        <f>IF(N8="Fehler","Fehler",SUM(H9:H43))</f>
        <v>0</v>
      </c>
      <c r="J8" s="47">
        <f>SUM(J9:J43)</f>
        <v>0</v>
      </c>
      <c r="K8" s="144">
        <f>ROUND(J8*N6,2)</f>
        <v>0</v>
      </c>
      <c r="L8" s="45"/>
      <c r="M8" s="48"/>
      <c r="S8" s="229"/>
      <c r="T8" s="341"/>
    </row>
    <row r="9" spans="1:20" x14ac:dyDescent="0.25">
      <c r="A9" s="41" t="str">
        <f>IF('PK AN-Brutto qA'!A10="","",'PK AN-Brutto qA'!A10)</f>
        <v/>
      </c>
      <c r="B9" s="41" t="str">
        <f>IF('PK AN-Brutto qA'!B10="","",'PK AN-Brutto qA'!B10)</f>
        <v/>
      </c>
      <c r="C9" s="225" t="str">
        <f>IF('PK AN-Brutto qA'!D10="","",'PK AN-Brutto qA'!D10)</f>
        <v/>
      </c>
      <c r="D9" s="225" t="str">
        <f>IF('PK AN-Brutto qA'!E10="","",'PK AN-Brutto qA'!E10)</f>
        <v/>
      </c>
      <c r="E9" s="52"/>
      <c r="F9" s="40" t="str">
        <f>'PK AG_Brutto'!J7</f>
        <v/>
      </c>
      <c r="G9" s="53"/>
      <c r="H9" s="40" t="str">
        <f>IF(AND(F9="",G9=0),"",IF(G9&gt;0,E9*G9,E9*F9))</f>
        <v/>
      </c>
      <c r="I9" s="30"/>
      <c r="J9" s="58" t="str">
        <f t="shared" ref="J9:J11" si="0">IF(E9="","",E9)</f>
        <v/>
      </c>
      <c r="K9" s="30"/>
      <c r="L9" s="207" t="str">
        <f>IF(E9&gt;0,IF(H9="","Bitte Personalkosten in den folgenden Tabellenblättern oder alternativ in Spalte F eintragen",""),IF(H9="","","Stellenanteil -VZK oder Multiplikator für die Personalkosten eintragen"))</f>
        <v/>
      </c>
      <c r="M9" s="30"/>
      <c r="S9" s="229"/>
      <c r="T9" s="341"/>
    </row>
    <row r="10" spans="1:20" x14ac:dyDescent="0.25">
      <c r="A10" s="41" t="str">
        <f>IF('PK AN-Brutto qA'!A11="","",'PK AN-Brutto qA'!A11)</f>
        <v/>
      </c>
      <c r="B10" s="41" t="str">
        <f>IF('PK AN-Brutto qA'!B11="","",'PK AN-Brutto qA'!B11)</f>
        <v/>
      </c>
      <c r="C10" s="225" t="str">
        <f>IF('PK AN-Brutto qA'!D11="","",'PK AN-Brutto qA'!D11)</f>
        <v/>
      </c>
      <c r="D10" s="225" t="str">
        <f>IF('PK AN-Brutto qA'!E11="","",'PK AN-Brutto qA'!E11)</f>
        <v/>
      </c>
      <c r="E10" s="52"/>
      <c r="F10" s="40" t="str">
        <f>'PK AG_Brutto'!J8</f>
        <v/>
      </c>
      <c r="G10" s="53"/>
      <c r="H10" s="40" t="str">
        <f t="shared" ref="H10:H42" si="1">IF(AND(F10="",G10=0),"",IF(G10&gt;0,E10*G10,E10*F10))</f>
        <v/>
      </c>
      <c r="I10" s="30"/>
      <c r="J10" s="58" t="str">
        <f t="shared" si="0"/>
        <v/>
      </c>
      <c r="K10" s="30"/>
      <c r="L10" s="207" t="str">
        <f t="shared" ref="L10:L42" si="2">IF(E10&gt;0,IF(H10="","Bitte Personalkosten in den folgenden Tabellenblättern oder alternativ in Spalte F eintragen",""),IF(H10="","","Stellenanteil -VZK oder Multiplikator für die Personalkosten eintragen"))</f>
        <v/>
      </c>
      <c r="M10" s="30"/>
      <c r="S10" s="229"/>
      <c r="T10" s="341"/>
    </row>
    <row r="11" spans="1:20" x14ac:dyDescent="0.25">
      <c r="A11" s="41" t="str">
        <f>IF('PK AN-Brutto qA'!A12="","",'PK AN-Brutto qA'!A12)</f>
        <v/>
      </c>
      <c r="B11" s="41" t="str">
        <f>IF('PK AN-Brutto qA'!B12="","",'PK AN-Brutto qA'!B12)</f>
        <v/>
      </c>
      <c r="C11" s="225" t="str">
        <f>IF('PK AN-Brutto qA'!D12="","",'PK AN-Brutto qA'!D12)</f>
        <v/>
      </c>
      <c r="D11" s="225" t="str">
        <f>IF('PK AN-Brutto qA'!E12="","",'PK AN-Brutto qA'!E12)</f>
        <v/>
      </c>
      <c r="E11" s="52"/>
      <c r="F11" s="40" t="str">
        <f>'PK AG_Brutto'!J9</f>
        <v/>
      </c>
      <c r="G11" s="53"/>
      <c r="H11" s="40" t="str">
        <f t="shared" si="1"/>
        <v/>
      </c>
      <c r="I11" s="30"/>
      <c r="J11" s="58" t="str">
        <f t="shared" si="0"/>
        <v/>
      </c>
      <c r="K11" s="30"/>
      <c r="L11" s="207" t="str">
        <f t="shared" si="2"/>
        <v/>
      </c>
      <c r="M11" s="30"/>
      <c r="S11" s="229"/>
      <c r="T11" s="341"/>
    </row>
    <row r="12" spans="1:20" x14ac:dyDescent="0.25">
      <c r="A12" s="41" t="str">
        <f>IF('PK AN-Brutto qA'!A13="","",'PK AN-Brutto qA'!A13)</f>
        <v/>
      </c>
      <c r="B12" s="41" t="str">
        <f>IF('PK AN-Brutto qA'!B13="","",'PK AN-Brutto qA'!B13)</f>
        <v/>
      </c>
      <c r="C12" s="225" t="str">
        <f>IF('PK AN-Brutto qA'!D13="","",'PK AN-Brutto qA'!D13)</f>
        <v/>
      </c>
      <c r="D12" s="225" t="str">
        <f>IF('PK AN-Brutto qA'!E13="","",'PK AN-Brutto qA'!E13)</f>
        <v/>
      </c>
      <c r="E12" s="52"/>
      <c r="F12" s="40" t="str">
        <f>'PK AG_Brutto'!J10</f>
        <v/>
      </c>
      <c r="G12" s="53"/>
      <c r="H12" s="40" t="str">
        <f t="shared" ref="H12:H40" si="3">IF(AND(F12="",G12=0),"",IF(G12&gt;0,E12*G12,E12*F12))</f>
        <v/>
      </c>
      <c r="I12" s="30"/>
      <c r="J12" s="58" t="str">
        <f t="shared" ref="J12:J38" si="4">IF(E12="","",E12)</f>
        <v/>
      </c>
      <c r="K12" s="30"/>
      <c r="L12" s="207" t="str">
        <f t="shared" si="2"/>
        <v/>
      </c>
      <c r="M12" s="30"/>
      <c r="S12" s="229"/>
      <c r="T12" s="341"/>
    </row>
    <row r="13" spans="1:20" x14ac:dyDescent="0.25">
      <c r="A13" s="41" t="str">
        <f>IF('PK AN-Brutto qA'!A14="","",'PK AN-Brutto qA'!A14)</f>
        <v/>
      </c>
      <c r="B13" s="41" t="str">
        <f>IF('PK AN-Brutto qA'!B14="","",'PK AN-Brutto qA'!B14)</f>
        <v/>
      </c>
      <c r="C13" s="225" t="str">
        <f>IF('PK AN-Brutto qA'!D14="","",'PK AN-Brutto qA'!D14)</f>
        <v/>
      </c>
      <c r="D13" s="225" t="str">
        <f>IF('PK AN-Brutto qA'!E14="","",'PK AN-Brutto qA'!E14)</f>
        <v/>
      </c>
      <c r="E13" s="52"/>
      <c r="F13" s="40" t="str">
        <f>'PK AG_Brutto'!J11</f>
        <v/>
      </c>
      <c r="G13" s="53"/>
      <c r="H13" s="40" t="str">
        <f t="shared" si="3"/>
        <v/>
      </c>
      <c r="I13" s="30"/>
      <c r="J13" s="58" t="str">
        <f t="shared" si="4"/>
        <v/>
      </c>
      <c r="L13" s="207" t="str">
        <f t="shared" si="2"/>
        <v/>
      </c>
      <c r="M13" s="30"/>
      <c r="S13" s="229"/>
      <c r="T13" s="341"/>
    </row>
    <row r="14" spans="1:20" x14ac:dyDescent="0.25">
      <c r="A14" s="41" t="str">
        <f>IF('PK AN-Brutto qA'!A15="","",'PK AN-Brutto qA'!A15)</f>
        <v/>
      </c>
      <c r="B14" s="41" t="str">
        <f>IF('PK AN-Brutto qA'!B15="","",'PK AN-Brutto qA'!B15)</f>
        <v/>
      </c>
      <c r="C14" s="225" t="str">
        <f>IF('PK AN-Brutto qA'!D15="","",'PK AN-Brutto qA'!D15)</f>
        <v/>
      </c>
      <c r="D14" s="225" t="str">
        <f>IF('PK AN-Brutto qA'!E15="","",'PK AN-Brutto qA'!E15)</f>
        <v/>
      </c>
      <c r="E14" s="52"/>
      <c r="F14" s="40" t="str">
        <f>'PK AG_Brutto'!J12</f>
        <v/>
      </c>
      <c r="G14" s="53"/>
      <c r="H14" s="40" t="str">
        <f t="shared" si="3"/>
        <v/>
      </c>
      <c r="I14" s="30"/>
      <c r="J14" s="58" t="str">
        <f t="shared" si="4"/>
        <v/>
      </c>
      <c r="K14" s="30"/>
      <c r="L14" s="207" t="str">
        <f t="shared" si="2"/>
        <v/>
      </c>
      <c r="M14" s="30"/>
      <c r="S14" s="229"/>
      <c r="T14" s="341"/>
    </row>
    <row r="15" spans="1:20" x14ac:dyDescent="0.25">
      <c r="A15" s="41" t="str">
        <f>IF('PK AN-Brutto qA'!A16="","",'PK AN-Brutto qA'!A16)</f>
        <v/>
      </c>
      <c r="B15" s="41" t="str">
        <f>IF('PK AN-Brutto qA'!B16="","",'PK AN-Brutto qA'!B16)</f>
        <v/>
      </c>
      <c r="C15" s="225" t="str">
        <f>IF('PK AN-Brutto qA'!D16="","",'PK AN-Brutto qA'!D16)</f>
        <v/>
      </c>
      <c r="D15" s="225" t="str">
        <f>IF('PK AN-Brutto qA'!E16="","",'PK AN-Brutto qA'!E16)</f>
        <v/>
      </c>
      <c r="E15" s="52"/>
      <c r="F15" s="40" t="str">
        <f>'PK AG_Brutto'!J13</f>
        <v/>
      </c>
      <c r="G15" s="53"/>
      <c r="H15" s="40" t="str">
        <f t="shared" si="3"/>
        <v/>
      </c>
      <c r="I15" s="30"/>
      <c r="J15" s="58" t="str">
        <f t="shared" si="4"/>
        <v/>
      </c>
      <c r="K15" s="30"/>
      <c r="L15" s="207" t="str">
        <f t="shared" si="2"/>
        <v/>
      </c>
      <c r="M15" s="30"/>
      <c r="S15" s="229"/>
      <c r="T15" s="341"/>
    </row>
    <row r="16" spans="1:20" x14ac:dyDescent="0.25">
      <c r="A16" s="41" t="str">
        <f>IF('PK AN-Brutto qA'!A17="","",'PK AN-Brutto qA'!A17)</f>
        <v/>
      </c>
      <c r="B16" s="41" t="str">
        <f>IF('PK AN-Brutto qA'!B17="","",'PK AN-Brutto qA'!B17)</f>
        <v/>
      </c>
      <c r="C16" s="225" t="str">
        <f>IF('PK AN-Brutto qA'!D17="","",'PK AN-Brutto qA'!D17)</f>
        <v/>
      </c>
      <c r="D16" s="225" t="str">
        <f>IF('PK AN-Brutto qA'!E17="","",'PK AN-Brutto qA'!E17)</f>
        <v/>
      </c>
      <c r="E16" s="52"/>
      <c r="F16" s="40" t="str">
        <f>'PK AG_Brutto'!J14</f>
        <v/>
      </c>
      <c r="G16" s="53"/>
      <c r="H16" s="40" t="str">
        <f t="shared" si="3"/>
        <v/>
      </c>
      <c r="I16" s="30"/>
      <c r="J16" s="58" t="str">
        <f t="shared" si="4"/>
        <v/>
      </c>
      <c r="K16" s="30"/>
      <c r="L16" s="207" t="str">
        <f t="shared" si="2"/>
        <v/>
      </c>
      <c r="M16" s="30"/>
      <c r="S16" s="229"/>
      <c r="T16" s="341"/>
    </row>
    <row r="17" spans="1:20" x14ac:dyDescent="0.25">
      <c r="A17" s="41" t="str">
        <f>IF('PK AN-Brutto qA'!A18="","",'PK AN-Brutto qA'!A18)</f>
        <v/>
      </c>
      <c r="B17" s="41" t="str">
        <f>IF('PK AN-Brutto qA'!B18="","",'PK AN-Brutto qA'!B18)</f>
        <v/>
      </c>
      <c r="C17" s="225" t="str">
        <f>IF('PK AN-Brutto qA'!D18="","",'PK AN-Brutto qA'!D18)</f>
        <v/>
      </c>
      <c r="D17" s="225" t="str">
        <f>IF('PK AN-Brutto qA'!E18="","",'PK AN-Brutto qA'!E18)</f>
        <v/>
      </c>
      <c r="E17" s="52"/>
      <c r="F17" s="40" t="str">
        <f>'PK AG_Brutto'!J15</f>
        <v/>
      </c>
      <c r="G17" s="53"/>
      <c r="H17" s="40" t="str">
        <f t="shared" si="3"/>
        <v/>
      </c>
      <c r="I17" s="30"/>
      <c r="J17" s="58" t="str">
        <f t="shared" si="4"/>
        <v/>
      </c>
      <c r="K17" s="30"/>
      <c r="L17" s="207" t="str">
        <f t="shared" si="2"/>
        <v/>
      </c>
      <c r="M17" s="30"/>
      <c r="S17" s="229"/>
      <c r="T17" s="341"/>
    </row>
    <row r="18" spans="1:20" x14ac:dyDescent="0.25">
      <c r="A18" s="41" t="str">
        <f>IF('PK AN-Brutto qA'!A19="","",'PK AN-Brutto qA'!A19)</f>
        <v/>
      </c>
      <c r="B18" s="41" t="str">
        <f>IF('PK AN-Brutto qA'!B19="","",'PK AN-Brutto qA'!B19)</f>
        <v/>
      </c>
      <c r="C18" s="225" t="str">
        <f>IF('PK AN-Brutto qA'!D19="","",'PK AN-Brutto qA'!D19)</f>
        <v/>
      </c>
      <c r="D18" s="225" t="str">
        <f>IF('PK AN-Brutto qA'!E19="","",'PK AN-Brutto qA'!E19)</f>
        <v/>
      </c>
      <c r="E18" s="52"/>
      <c r="F18" s="40" t="str">
        <f>'PK AG_Brutto'!J16</f>
        <v/>
      </c>
      <c r="G18" s="53"/>
      <c r="H18" s="40" t="str">
        <f t="shared" si="3"/>
        <v/>
      </c>
      <c r="I18" s="30"/>
      <c r="J18" s="58" t="str">
        <f t="shared" si="4"/>
        <v/>
      </c>
      <c r="K18" s="30"/>
      <c r="L18" s="207" t="str">
        <f t="shared" si="2"/>
        <v/>
      </c>
      <c r="M18" s="30"/>
      <c r="S18" s="229"/>
      <c r="T18" s="341"/>
    </row>
    <row r="19" spans="1:20" x14ac:dyDescent="0.25">
      <c r="A19" s="41" t="str">
        <f>IF('PK AN-Brutto qA'!A20="","",'PK AN-Brutto qA'!A20)</f>
        <v/>
      </c>
      <c r="B19" s="41" t="str">
        <f>IF('PK AN-Brutto qA'!B20="","",'PK AN-Brutto qA'!B20)</f>
        <v/>
      </c>
      <c r="C19" s="225" t="str">
        <f>IF('PK AN-Brutto qA'!D20="","",'PK AN-Brutto qA'!D20)</f>
        <v/>
      </c>
      <c r="D19" s="225" t="str">
        <f>IF('PK AN-Brutto qA'!E20="","",'PK AN-Brutto qA'!E20)</f>
        <v/>
      </c>
      <c r="E19" s="52"/>
      <c r="F19" s="40" t="str">
        <f>'PK AG_Brutto'!J17</f>
        <v/>
      </c>
      <c r="G19" s="53"/>
      <c r="H19" s="40" t="str">
        <f t="shared" si="3"/>
        <v/>
      </c>
      <c r="I19" s="30"/>
      <c r="J19" s="58" t="str">
        <f t="shared" si="4"/>
        <v/>
      </c>
      <c r="K19" s="30"/>
      <c r="L19" s="207" t="str">
        <f t="shared" si="2"/>
        <v/>
      </c>
      <c r="M19" s="30"/>
      <c r="S19" s="229"/>
      <c r="T19" s="341"/>
    </row>
    <row r="20" spans="1:20" x14ac:dyDescent="0.25">
      <c r="A20" s="41" t="str">
        <f>IF('PK AN-Brutto qA'!A21="","",'PK AN-Brutto qA'!A21)</f>
        <v/>
      </c>
      <c r="B20" s="41" t="str">
        <f>IF('PK AN-Brutto qA'!B21="","",'PK AN-Brutto qA'!B21)</f>
        <v/>
      </c>
      <c r="C20" s="225" t="str">
        <f>IF('PK AN-Brutto qA'!D21="","",'PK AN-Brutto qA'!D21)</f>
        <v/>
      </c>
      <c r="D20" s="225" t="str">
        <f>IF('PK AN-Brutto qA'!E21="","",'PK AN-Brutto qA'!E21)</f>
        <v/>
      </c>
      <c r="E20" s="52"/>
      <c r="F20" s="40" t="str">
        <f>'PK AG_Brutto'!J18</f>
        <v/>
      </c>
      <c r="G20" s="53"/>
      <c r="H20" s="40" t="str">
        <f t="shared" si="3"/>
        <v/>
      </c>
      <c r="I20" s="30"/>
      <c r="J20" s="58" t="str">
        <f t="shared" si="4"/>
        <v/>
      </c>
      <c r="K20" s="30"/>
      <c r="L20" s="207" t="str">
        <f t="shared" si="2"/>
        <v/>
      </c>
      <c r="M20" s="30"/>
      <c r="S20" s="229"/>
      <c r="T20" s="341"/>
    </row>
    <row r="21" spans="1:20" x14ac:dyDescent="0.25">
      <c r="A21" s="41" t="str">
        <f>IF('PK AN-Brutto qA'!A22="","",'PK AN-Brutto qA'!A22)</f>
        <v/>
      </c>
      <c r="B21" s="41" t="str">
        <f>IF('PK AN-Brutto qA'!B22="","",'PK AN-Brutto qA'!B22)</f>
        <v/>
      </c>
      <c r="C21" s="225" t="str">
        <f>IF('PK AN-Brutto qA'!D22="","",'PK AN-Brutto qA'!D22)</f>
        <v/>
      </c>
      <c r="D21" s="225" t="str">
        <f>IF('PK AN-Brutto qA'!E22="","",'PK AN-Brutto qA'!E22)</f>
        <v/>
      </c>
      <c r="E21" s="52"/>
      <c r="F21" s="40" t="str">
        <f>'PK AG_Brutto'!J19</f>
        <v/>
      </c>
      <c r="G21" s="53"/>
      <c r="H21" s="40" t="str">
        <f t="shared" si="3"/>
        <v/>
      </c>
      <c r="I21" s="30"/>
      <c r="J21" s="58" t="str">
        <f t="shared" si="4"/>
        <v/>
      </c>
      <c r="K21" s="30"/>
      <c r="L21" s="207" t="str">
        <f t="shared" si="2"/>
        <v/>
      </c>
      <c r="M21" s="30"/>
      <c r="S21" s="229"/>
      <c r="T21" s="341"/>
    </row>
    <row r="22" spans="1:20" x14ac:dyDescent="0.25">
      <c r="A22" s="41" t="str">
        <f>IF('PK AN-Brutto qA'!A23="","",'PK AN-Brutto qA'!A23)</f>
        <v/>
      </c>
      <c r="B22" s="41" t="str">
        <f>IF('PK AN-Brutto qA'!B23="","",'PK AN-Brutto qA'!B23)</f>
        <v/>
      </c>
      <c r="C22" s="225" t="str">
        <f>IF('PK AN-Brutto qA'!D23="","",'PK AN-Brutto qA'!D23)</f>
        <v/>
      </c>
      <c r="D22" s="225" t="str">
        <f>IF('PK AN-Brutto qA'!E23="","",'PK AN-Brutto qA'!E23)</f>
        <v/>
      </c>
      <c r="E22" s="52"/>
      <c r="F22" s="40" t="str">
        <f>'PK AG_Brutto'!J20</f>
        <v/>
      </c>
      <c r="G22" s="53"/>
      <c r="H22" s="40" t="str">
        <f t="shared" si="3"/>
        <v/>
      </c>
      <c r="I22" s="30"/>
      <c r="J22" s="58" t="str">
        <f t="shared" si="4"/>
        <v/>
      </c>
      <c r="K22" s="30"/>
      <c r="L22" s="207" t="str">
        <f t="shared" si="2"/>
        <v/>
      </c>
      <c r="M22" s="30"/>
      <c r="S22" s="229"/>
      <c r="T22" s="341"/>
    </row>
    <row r="23" spans="1:20" x14ac:dyDescent="0.25">
      <c r="A23" s="41" t="str">
        <f>IF('PK AN-Brutto qA'!A24="","",'PK AN-Brutto qA'!A24)</f>
        <v/>
      </c>
      <c r="B23" s="41" t="str">
        <f>IF('PK AN-Brutto qA'!B24="","",'PK AN-Brutto qA'!B24)</f>
        <v/>
      </c>
      <c r="C23" s="225" t="str">
        <f>IF('PK AN-Brutto qA'!D24="","",'PK AN-Brutto qA'!D24)</f>
        <v/>
      </c>
      <c r="D23" s="225" t="str">
        <f>IF('PK AN-Brutto qA'!E24="","",'PK AN-Brutto qA'!E24)</f>
        <v/>
      </c>
      <c r="E23" s="52"/>
      <c r="F23" s="40" t="str">
        <f>'PK AG_Brutto'!J21</f>
        <v/>
      </c>
      <c r="G23" s="53"/>
      <c r="H23" s="40" t="str">
        <f t="shared" si="3"/>
        <v/>
      </c>
      <c r="I23" s="30"/>
      <c r="J23" s="58" t="str">
        <f t="shared" si="4"/>
        <v/>
      </c>
      <c r="K23" s="30"/>
      <c r="L23" s="207" t="str">
        <f t="shared" si="2"/>
        <v/>
      </c>
      <c r="M23" s="30"/>
      <c r="S23" s="229"/>
      <c r="T23" s="341"/>
    </row>
    <row r="24" spans="1:20" x14ac:dyDescent="0.25">
      <c r="A24" s="41" t="str">
        <f>IF('PK AN-Brutto qA'!A25="","",'PK AN-Brutto qA'!A25)</f>
        <v/>
      </c>
      <c r="B24" s="41" t="str">
        <f>IF('PK AN-Brutto qA'!B25="","",'PK AN-Brutto qA'!B25)</f>
        <v/>
      </c>
      <c r="C24" s="225" t="str">
        <f>IF('PK AN-Brutto qA'!D25="","",'PK AN-Brutto qA'!D25)</f>
        <v/>
      </c>
      <c r="D24" s="225" t="str">
        <f>IF('PK AN-Brutto qA'!E25="","",'PK AN-Brutto qA'!E25)</f>
        <v/>
      </c>
      <c r="E24" s="52"/>
      <c r="F24" s="40" t="str">
        <f>'PK AG_Brutto'!J22</f>
        <v/>
      </c>
      <c r="G24" s="53"/>
      <c r="H24" s="40" t="str">
        <f t="shared" si="3"/>
        <v/>
      </c>
      <c r="I24" s="30"/>
      <c r="J24" s="58" t="str">
        <f t="shared" si="4"/>
        <v/>
      </c>
      <c r="K24" s="30"/>
      <c r="L24" s="207" t="str">
        <f t="shared" si="2"/>
        <v/>
      </c>
      <c r="M24" s="30"/>
      <c r="S24" s="229"/>
      <c r="T24" s="341"/>
    </row>
    <row r="25" spans="1:20" x14ac:dyDescent="0.25">
      <c r="A25" s="41" t="str">
        <f>IF('PK AN-Brutto qA'!A26="","",'PK AN-Brutto qA'!A26)</f>
        <v/>
      </c>
      <c r="B25" s="41" t="str">
        <f>IF('PK AN-Brutto qA'!B26="","",'PK AN-Brutto qA'!B26)</f>
        <v/>
      </c>
      <c r="C25" s="225" t="str">
        <f>IF('PK AN-Brutto qA'!D26="","",'PK AN-Brutto qA'!D26)</f>
        <v/>
      </c>
      <c r="D25" s="225" t="str">
        <f>IF('PK AN-Brutto qA'!E26="","",'PK AN-Brutto qA'!E26)</f>
        <v/>
      </c>
      <c r="E25" s="52"/>
      <c r="F25" s="40" t="str">
        <f>'PK AG_Brutto'!J23</f>
        <v/>
      </c>
      <c r="G25" s="53"/>
      <c r="H25" s="40" t="str">
        <f t="shared" si="3"/>
        <v/>
      </c>
      <c r="I25" s="30"/>
      <c r="J25" s="58" t="str">
        <f t="shared" si="4"/>
        <v/>
      </c>
      <c r="K25" s="30"/>
      <c r="L25" s="207" t="str">
        <f t="shared" si="2"/>
        <v/>
      </c>
      <c r="M25" s="30"/>
      <c r="S25" s="229"/>
      <c r="T25" s="341"/>
    </row>
    <row r="26" spans="1:20" x14ac:dyDescent="0.25">
      <c r="A26" s="41" t="str">
        <f>IF('PK AN-Brutto qA'!A27="","",'PK AN-Brutto qA'!A27)</f>
        <v/>
      </c>
      <c r="B26" s="41" t="str">
        <f>IF('PK AN-Brutto qA'!B27="","",'PK AN-Brutto qA'!B27)</f>
        <v/>
      </c>
      <c r="C26" s="225" t="str">
        <f>IF('PK AN-Brutto qA'!D27="","",'PK AN-Brutto qA'!D27)</f>
        <v/>
      </c>
      <c r="D26" s="225" t="str">
        <f>IF('PK AN-Brutto qA'!E27="","",'PK AN-Brutto qA'!E27)</f>
        <v/>
      </c>
      <c r="E26" s="52"/>
      <c r="F26" s="40" t="str">
        <f>'PK AG_Brutto'!J24</f>
        <v/>
      </c>
      <c r="G26" s="53"/>
      <c r="H26" s="40" t="str">
        <f t="shared" si="3"/>
        <v/>
      </c>
      <c r="I26" s="30"/>
      <c r="J26" s="58" t="str">
        <f t="shared" si="4"/>
        <v/>
      </c>
      <c r="K26" s="30"/>
      <c r="L26" s="207" t="str">
        <f t="shared" si="2"/>
        <v/>
      </c>
      <c r="M26" s="30"/>
      <c r="S26" s="229"/>
      <c r="T26" s="341"/>
    </row>
    <row r="27" spans="1:20" x14ac:dyDescent="0.25">
      <c r="A27" s="41" t="str">
        <f>IF('PK AN-Brutto qA'!A28="","",'PK AN-Brutto qA'!A28)</f>
        <v/>
      </c>
      <c r="B27" s="41" t="str">
        <f>IF('PK AN-Brutto qA'!B28="","",'PK AN-Brutto qA'!B28)</f>
        <v/>
      </c>
      <c r="C27" s="225" t="str">
        <f>IF('PK AN-Brutto qA'!D28="","",'PK AN-Brutto qA'!D28)</f>
        <v/>
      </c>
      <c r="D27" s="225" t="str">
        <f>IF('PK AN-Brutto qA'!E28="","",'PK AN-Brutto qA'!E28)</f>
        <v/>
      </c>
      <c r="E27" s="52"/>
      <c r="F27" s="40" t="str">
        <f>'PK AG_Brutto'!J25</f>
        <v/>
      </c>
      <c r="G27" s="53"/>
      <c r="H27" s="40" t="str">
        <f t="shared" si="3"/>
        <v/>
      </c>
      <c r="I27" s="30"/>
      <c r="J27" s="58" t="str">
        <f t="shared" si="4"/>
        <v/>
      </c>
      <c r="K27" s="30"/>
      <c r="L27" s="207" t="str">
        <f t="shared" si="2"/>
        <v/>
      </c>
      <c r="M27" s="30"/>
      <c r="S27" s="229"/>
      <c r="T27" s="341"/>
    </row>
    <row r="28" spans="1:20" x14ac:dyDescent="0.25">
      <c r="A28" s="41" t="str">
        <f>IF('PK AN-Brutto qA'!A29="","",'PK AN-Brutto qA'!A29)</f>
        <v/>
      </c>
      <c r="B28" s="41" t="str">
        <f>IF('PK AN-Brutto qA'!B29="","",'PK AN-Brutto qA'!B29)</f>
        <v/>
      </c>
      <c r="C28" s="225" t="str">
        <f>IF('PK AN-Brutto qA'!D29="","",'PK AN-Brutto qA'!D29)</f>
        <v/>
      </c>
      <c r="D28" s="225" t="str">
        <f>IF('PK AN-Brutto qA'!E29="","",'PK AN-Brutto qA'!E29)</f>
        <v/>
      </c>
      <c r="E28" s="52"/>
      <c r="F28" s="40" t="str">
        <f>'PK AG_Brutto'!J26</f>
        <v/>
      </c>
      <c r="G28" s="53"/>
      <c r="H28" s="40" t="str">
        <f t="shared" si="3"/>
        <v/>
      </c>
      <c r="I28" s="30"/>
      <c r="J28" s="58" t="str">
        <f t="shared" si="4"/>
        <v/>
      </c>
      <c r="K28" s="30"/>
      <c r="L28" s="207" t="str">
        <f t="shared" si="2"/>
        <v/>
      </c>
      <c r="M28" s="30"/>
      <c r="S28" s="229"/>
      <c r="T28" s="341"/>
    </row>
    <row r="29" spans="1:20" x14ac:dyDescent="0.25">
      <c r="A29" s="41" t="str">
        <f>IF('PK AN-Brutto qA'!A30="","",'PK AN-Brutto qA'!A30)</f>
        <v/>
      </c>
      <c r="B29" s="41" t="str">
        <f>IF('PK AN-Brutto qA'!B30="","",'PK AN-Brutto qA'!B30)</f>
        <v/>
      </c>
      <c r="C29" s="225" t="str">
        <f>IF('PK AN-Brutto qA'!D30="","",'PK AN-Brutto qA'!D30)</f>
        <v/>
      </c>
      <c r="D29" s="225" t="str">
        <f>IF('PK AN-Brutto qA'!E30="","",'PK AN-Brutto qA'!E30)</f>
        <v/>
      </c>
      <c r="E29" s="52"/>
      <c r="F29" s="40" t="str">
        <f>'PK AG_Brutto'!J27</f>
        <v/>
      </c>
      <c r="G29" s="53"/>
      <c r="H29" s="40" t="str">
        <f t="shared" si="3"/>
        <v/>
      </c>
      <c r="I29" s="30"/>
      <c r="J29" s="58" t="str">
        <f t="shared" si="4"/>
        <v/>
      </c>
      <c r="K29" s="30"/>
      <c r="L29" s="207" t="str">
        <f t="shared" si="2"/>
        <v/>
      </c>
      <c r="M29" s="30"/>
      <c r="S29" s="229"/>
      <c r="T29" s="341"/>
    </row>
    <row r="30" spans="1:20" x14ac:dyDescent="0.25">
      <c r="A30" s="41" t="str">
        <f>IF('PK AN-Brutto qA'!A31="","",'PK AN-Brutto qA'!A31)</f>
        <v/>
      </c>
      <c r="B30" s="41" t="str">
        <f>IF('PK AN-Brutto qA'!B31="","",'PK AN-Brutto qA'!B31)</f>
        <v/>
      </c>
      <c r="C30" s="225" t="str">
        <f>IF('PK AN-Brutto qA'!D31="","",'PK AN-Brutto qA'!D31)</f>
        <v/>
      </c>
      <c r="D30" s="225" t="str">
        <f>IF('PK AN-Brutto qA'!E31="","",'PK AN-Brutto qA'!E31)</f>
        <v/>
      </c>
      <c r="E30" s="52"/>
      <c r="F30" s="40" t="str">
        <f>'PK AG_Brutto'!J28</f>
        <v/>
      </c>
      <c r="G30" s="53"/>
      <c r="H30" s="40" t="str">
        <f t="shared" si="3"/>
        <v/>
      </c>
      <c r="I30" s="30"/>
      <c r="J30" s="58" t="str">
        <f t="shared" si="4"/>
        <v/>
      </c>
      <c r="K30" s="30"/>
      <c r="L30" s="207" t="str">
        <f t="shared" si="2"/>
        <v/>
      </c>
      <c r="M30" s="30"/>
      <c r="S30" s="229"/>
      <c r="T30" s="341"/>
    </row>
    <row r="31" spans="1:20" x14ac:dyDescent="0.25">
      <c r="A31" s="41" t="str">
        <f>IF('PK AN-Brutto qA'!A32="","",'PK AN-Brutto qA'!A32)</f>
        <v/>
      </c>
      <c r="B31" s="41" t="str">
        <f>IF('PK AN-Brutto qA'!B32="","",'PK AN-Brutto qA'!B32)</f>
        <v/>
      </c>
      <c r="C31" s="225" t="str">
        <f>IF('PK AN-Brutto qA'!D32="","",'PK AN-Brutto qA'!D32)</f>
        <v/>
      </c>
      <c r="D31" s="225" t="str">
        <f>IF('PK AN-Brutto qA'!E32="","",'PK AN-Brutto qA'!E32)</f>
        <v/>
      </c>
      <c r="E31" s="52"/>
      <c r="F31" s="40" t="str">
        <f>'PK AG_Brutto'!J29</f>
        <v/>
      </c>
      <c r="G31" s="53"/>
      <c r="H31" s="40" t="str">
        <f t="shared" si="3"/>
        <v/>
      </c>
      <c r="I31" s="30"/>
      <c r="J31" s="58" t="str">
        <f t="shared" si="4"/>
        <v/>
      </c>
      <c r="K31" s="30"/>
      <c r="L31" s="207" t="str">
        <f t="shared" si="2"/>
        <v/>
      </c>
      <c r="M31" s="30"/>
      <c r="S31" s="229"/>
      <c r="T31" s="341"/>
    </row>
    <row r="32" spans="1:20" x14ac:dyDescent="0.25">
      <c r="A32" s="41" t="str">
        <f>IF('PK AN-Brutto qA'!A33="","",'PK AN-Brutto qA'!A33)</f>
        <v/>
      </c>
      <c r="B32" s="41" t="str">
        <f>IF('PK AN-Brutto qA'!B33="","",'PK AN-Brutto qA'!B33)</f>
        <v/>
      </c>
      <c r="C32" s="225" t="str">
        <f>IF('PK AN-Brutto qA'!D33="","",'PK AN-Brutto qA'!D33)</f>
        <v/>
      </c>
      <c r="D32" s="225" t="str">
        <f>IF('PK AN-Brutto qA'!E33="","",'PK AN-Brutto qA'!E33)</f>
        <v/>
      </c>
      <c r="E32" s="52"/>
      <c r="F32" s="40" t="str">
        <f>'PK AG_Brutto'!J30</f>
        <v/>
      </c>
      <c r="G32" s="53"/>
      <c r="H32" s="40" t="str">
        <f t="shared" si="3"/>
        <v/>
      </c>
      <c r="I32" s="30"/>
      <c r="J32" s="58" t="str">
        <f t="shared" si="4"/>
        <v/>
      </c>
      <c r="K32" s="30"/>
      <c r="L32" s="207" t="str">
        <f t="shared" si="2"/>
        <v/>
      </c>
      <c r="M32" s="30"/>
      <c r="S32" s="229"/>
      <c r="T32" s="341"/>
    </row>
    <row r="33" spans="1:20" x14ac:dyDescent="0.25">
      <c r="A33" s="41" t="str">
        <f>IF('PK AN-Brutto qA'!A34="","",'PK AN-Brutto qA'!A34)</f>
        <v/>
      </c>
      <c r="B33" s="41" t="str">
        <f>IF('PK AN-Brutto qA'!B34="","",'PK AN-Brutto qA'!B34)</f>
        <v/>
      </c>
      <c r="C33" s="225" t="str">
        <f>IF('PK AN-Brutto qA'!D34="","",'PK AN-Brutto qA'!D34)</f>
        <v/>
      </c>
      <c r="D33" s="225" t="str">
        <f>IF('PK AN-Brutto qA'!E34="","",'PK AN-Brutto qA'!E34)</f>
        <v/>
      </c>
      <c r="E33" s="52"/>
      <c r="F33" s="40" t="str">
        <f>'PK AG_Brutto'!J31</f>
        <v/>
      </c>
      <c r="G33" s="53"/>
      <c r="H33" s="40" t="str">
        <f t="shared" si="3"/>
        <v/>
      </c>
      <c r="I33" s="30"/>
      <c r="J33" s="58" t="str">
        <f t="shared" si="4"/>
        <v/>
      </c>
      <c r="K33" s="30"/>
      <c r="L33" s="207" t="str">
        <f t="shared" si="2"/>
        <v/>
      </c>
      <c r="M33" s="30"/>
      <c r="S33" s="229"/>
      <c r="T33" s="341"/>
    </row>
    <row r="34" spans="1:20" x14ac:dyDescent="0.25">
      <c r="A34" s="41" t="str">
        <f>IF('PK AN-Brutto qA'!A35="","",'PK AN-Brutto qA'!A35)</f>
        <v/>
      </c>
      <c r="B34" s="41" t="str">
        <f>IF('PK AN-Brutto qA'!B35="","",'PK AN-Brutto qA'!B35)</f>
        <v/>
      </c>
      <c r="C34" s="225" t="str">
        <f>IF('PK AN-Brutto qA'!D35="","",'PK AN-Brutto qA'!D35)</f>
        <v/>
      </c>
      <c r="D34" s="225" t="str">
        <f>IF('PK AN-Brutto qA'!E35="","",'PK AN-Brutto qA'!E35)</f>
        <v/>
      </c>
      <c r="E34" s="52"/>
      <c r="F34" s="40" t="str">
        <f>'PK AG_Brutto'!J32</f>
        <v/>
      </c>
      <c r="G34" s="53"/>
      <c r="H34" s="40" t="str">
        <f t="shared" si="3"/>
        <v/>
      </c>
      <c r="I34" s="30"/>
      <c r="J34" s="58" t="str">
        <f t="shared" si="4"/>
        <v/>
      </c>
      <c r="K34" s="30"/>
      <c r="L34" s="207" t="str">
        <f t="shared" si="2"/>
        <v/>
      </c>
      <c r="M34" s="30"/>
      <c r="S34" s="229"/>
      <c r="T34" s="341"/>
    </row>
    <row r="35" spans="1:20" x14ac:dyDescent="0.25">
      <c r="A35" s="41" t="str">
        <f>IF('PK AN-Brutto qA'!A36="","",'PK AN-Brutto qA'!A36)</f>
        <v/>
      </c>
      <c r="B35" s="41" t="str">
        <f>IF('PK AN-Brutto qA'!B36="","",'PK AN-Brutto qA'!B36)</f>
        <v/>
      </c>
      <c r="C35" s="225" t="str">
        <f>IF('PK AN-Brutto qA'!D36="","",'PK AN-Brutto qA'!D36)</f>
        <v/>
      </c>
      <c r="D35" s="225" t="str">
        <f>IF('PK AN-Brutto qA'!E36="","",'PK AN-Brutto qA'!E36)</f>
        <v/>
      </c>
      <c r="E35" s="52"/>
      <c r="F35" s="40" t="str">
        <f>'PK AG_Brutto'!J33</f>
        <v/>
      </c>
      <c r="G35" s="53"/>
      <c r="H35" s="40" t="str">
        <f t="shared" si="3"/>
        <v/>
      </c>
      <c r="I35" s="30"/>
      <c r="J35" s="58" t="str">
        <f t="shared" si="4"/>
        <v/>
      </c>
      <c r="K35" s="30"/>
      <c r="L35" s="207" t="str">
        <f t="shared" si="2"/>
        <v/>
      </c>
      <c r="M35" s="30"/>
      <c r="S35" s="229"/>
      <c r="T35" s="341"/>
    </row>
    <row r="36" spans="1:20" x14ac:dyDescent="0.25">
      <c r="A36" s="41" t="str">
        <f>IF('PK AN-Brutto qA'!A37="","",'PK AN-Brutto qA'!A37)</f>
        <v/>
      </c>
      <c r="B36" s="41" t="str">
        <f>IF('PK AN-Brutto qA'!B37="","",'PK AN-Brutto qA'!B37)</f>
        <v/>
      </c>
      <c r="C36" s="225" t="str">
        <f>IF('PK AN-Brutto qA'!D37="","",'PK AN-Brutto qA'!D37)</f>
        <v/>
      </c>
      <c r="D36" s="225" t="str">
        <f>IF('PK AN-Brutto qA'!E37="","",'PK AN-Brutto qA'!E37)</f>
        <v/>
      </c>
      <c r="E36" s="52"/>
      <c r="F36" s="40" t="str">
        <f>'PK AG_Brutto'!J34</f>
        <v/>
      </c>
      <c r="G36" s="53"/>
      <c r="H36" s="40" t="str">
        <f t="shared" si="3"/>
        <v/>
      </c>
      <c r="I36" s="30"/>
      <c r="J36" s="58" t="str">
        <f t="shared" si="4"/>
        <v/>
      </c>
      <c r="K36" s="30"/>
      <c r="L36" s="207" t="str">
        <f t="shared" si="2"/>
        <v/>
      </c>
      <c r="M36" s="30"/>
      <c r="S36" s="229"/>
      <c r="T36" s="341"/>
    </row>
    <row r="37" spans="1:20" x14ac:dyDescent="0.25">
      <c r="A37" s="41" t="str">
        <f>IF('PK AN-Brutto qA'!A38="","",'PK AN-Brutto qA'!A38)</f>
        <v/>
      </c>
      <c r="B37" s="41" t="str">
        <f>IF('PK AN-Brutto qA'!B38="","",'PK AN-Brutto qA'!B38)</f>
        <v/>
      </c>
      <c r="C37" s="225" t="str">
        <f>IF('PK AN-Brutto qA'!D38="","",'PK AN-Brutto qA'!D38)</f>
        <v/>
      </c>
      <c r="D37" s="225" t="str">
        <f>IF('PK AN-Brutto qA'!E38="","",'PK AN-Brutto qA'!E38)</f>
        <v/>
      </c>
      <c r="E37" s="52"/>
      <c r="F37" s="40" t="str">
        <f>'PK AG_Brutto'!J35</f>
        <v/>
      </c>
      <c r="G37" s="53"/>
      <c r="H37" s="40" t="str">
        <f t="shared" si="3"/>
        <v/>
      </c>
      <c r="I37" s="30"/>
      <c r="J37" s="58" t="str">
        <f t="shared" si="4"/>
        <v/>
      </c>
      <c r="K37" s="30"/>
      <c r="L37" s="207" t="str">
        <f t="shared" si="2"/>
        <v/>
      </c>
      <c r="M37" s="30"/>
      <c r="S37" s="229"/>
      <c r="T37" s="341"/>
    </row>
    <row r="38" spans="1:20" x14ac:dyDescent="0.25">
      <c r="A38" s="41" t="str">
        <f>IF('PK AN-Brutto qA'!A39="","",'PK AN-Brutto qA'!A39)</f>
        <v/>
      </c>
      <c r="B38" s="41" t="str">
        <f>IF('PK AN-Brutto qA'!B39="","",'PK AN-Brutto qA'!B39)</f>
        <v/>
      </c>
      <c r="C38" s="225" t="str">
        <f>IF('PK AN-Brutto qA'!D39="","",'PK AN-Brutto qA'!D39)</f>
        <v/>
      </c>
      <c r="D38" s="225" t="str">
        <f>IF('PK AN-Brutto qA'!E39="","",'PK AN-Brutto qA'!E39)</f>
        <v/>
      </c>
      <c r="E38" s="52"/>
      <c r="F38" s="40" t="str">
        <f>'PK AG_Brutto'!J36</f>
        <v/>
      </c>
      <c r="G38" s="53"/>
      <c r="H38" s="40" t="str">
        <f t="shared" si="3"/>
        <v/>
      </c>
      <c r="I38" s="30"/>
      <c r="J38" s="58" t="str">
        <f t="shared" si="4"/>
        <v/>
      </c>
      <c r="K38" s="30"/>
      <c r="L38" s="207" t="str">
        <f t="shared" si="2"/>
        <v/>
      </c>
      <c r="M38" s="30"/>
      <c r="S38" s="229"/>
      <c r="T38" s="341"/>
    </row>
    <row r="39" spans="1:20" x14ac:dyDescent="0.25">
      <c r="A39" s="41" t="s">
        <v>141</v>
      </c>
      <c r="B39" s="41" t="s">
        <v>176</v>
      </c>
      <c r="C39" s="225" t="str">
        <f>IF('PK AN-Brutto qA'!D40="","",'PK AN-Brutto qA'!D40)</f>
        <v/>
      </c>
      <c r="D39" s="225" t="str">
        <f>IF('PK AN-Brutto qA'!E40="","",'PK AN-Brutto qA'!E40)</f>
        <v/>
      </c>
      <c r="E39" s="52"/>
      <c r="F39" s="40" t="str">
        <f>'PK AG_Brutto'!J37</f>
        <v/>
      </c>
      <c r="G39" s="53"/>
      <c r="H39" s="40" t="str">
        <f t="shared" si="3"/>
        <v/>
      </c>
      <c r="I39" s="30"/>
      <c r="J39" s="58" t="str">
        <f>IF(H39="","",IF($P$6="","",ROUND($H$39/$P$6,2)))</f>
        <v/>
      </c>
      <c r="K39" s="7"/>
      <c r="L39" s="207" t="str">
        <f t="shared" si="2"/>
        <v/>
      </c>
      <c r="S39" s="229"/>
      <c r="T39" s="341"/>
    </row>
    <row r="40" spans="1:20" x14ac:dyDescent="0.25">
      <c r="A40" s="41" t="s">
        <v>142</v>
      </c>
      <c r="B40" s="41" t="s">
        <v>176</v>
      </c>
      <c r="C40" s="225" t="str">
        <f>IF('PK AN-Brutto qA'!D41="","",'PK AN-Brutto qA'!D41)</f>
        <v/>
      </c>
      <c r="D40" s="225" t="str">
        <f>IF('PK AN-Brutto qA'!E41="","",'PK AN-Brutto qA'!E41)</f>
        <v/>
      </c>
      <c r="E40" s="52"/>
      <c r="F40" s="40" t="str">
        <f>'PK AG_Brutto'!J38</f>
        <v/>
      </c>
      <c r="G40" s="53"/>
      <c r="H40" s="40" t="str">
        <f t="shared" si="3"/>
        <v/>
      </c>
      <c r="I40" s="30"/>
      <c r="J40" s="58" t="str">
        <f>IF(H40="","",IF($P$6="","",ROUND(H40/$P$6,2)))</f>
        <v/>
      </c>
      <c r="K40" s="7"/>
      <c r="L40" s="207" t="str">
        <f t="shared" si="2"/>
        <v/>
      </c>
      <c r="S40" s="229"/>
      <c r="T40" s="341"/>
    </row>
    <row r="41" spans="1:20" x14ac:dyDescent="0.25">
      <c r="A41" s="41" t="s">
        <v>123</v>
      </c>
      <c r="B41" s="41" t="s">
        <v>176</v>
      </c>
      <c r="C41" s="225" t="str">
        <f>IF('PK AN-Brutto qA'!D42="","",'PK AN-Brutto qA'!D42)</f>
        <v/>
      </c>
      <c r="D41" s="225" t="str">
        <f>IF('PK AN-Brutto qA'!E42="","",'PK AN-Brutto qA'!E42)</f>
        <v/>
      </c>
      <c r="E41" s="52"/>
      <c r="F41" s="40" t="str">
        <f>'PK AG_Brutto'!J39</f>
        <v/>
      </c>
      <c r="G41" s="53"/>
      <c r="H41" s="40" t="str">
        <f t="shared" si="1"/>
        <v/>
      </c>
      <c r="I41" s="30"/>
      <c r="J41" s="59"/>
      <c r="K41" s="30"/>
      <c r="L41" s="207" t="str">
        <f t="shared" si="2"/>
        <v/>
      </c>
      <c r="M41" s="30"/>
      <c r="S41" s="229"/>
      <c r="T41" s="341"/>
    </row>
    <row r="42" spans="1:20" x14ac:dyDescent="0.25">
      <c r="A42" s="41" t="s">
        <v>46</v>
      </c>
      <c r="B42" s="41" t="s">
        <v>176</v>
      </c>
      <c r="C42" s="225" t="str">
        <f>IF('PK AN-Brutto qA'!D43="","",'PK AN-Brutto qA'!D43)</f>
        <v/>
      </c>
      <c r="D42" s="225" t="str">
        <f>IF('PK AN-Brutto qA'!E43="","",'PK AN-Brutto qA'!E43)</f>
        <v/>
      </c>
      <c r="E42" s="52"/>
      <c r="F42" s="40" t="str">
        <f>'PK AG_Brutto'!J40</f>
        <v/>
      </c>
      <c r="G42" s="53"/>
      <c r="H42" s="40" t="str">
        <f t="shared" si="1"/>
        <v/>
      </c>
      <c r="I42" s="30"/>
      <c r="J42" s="59"/>
      <c r="K42" s="30"/>
      <c r="L42" s="207" t="str">
        <f t="shared" si="2"/>
        <v/>
      </c>
      <c r="M42" s="30"/>
      <c r="S42" s="229"/>
      <c r="T42" s="341"/>
    </row>
    <row r="43" spans="1:20" x14ac:dyDescent="0.25">
      <c r="A43" s="41" t="s">
        <v>48</v>
      </c>
      <c r="B43" s="41" t="s">
        <v>176</v>
      </c>
      <c r="C43" s="225"/>
      <c r="D43" s="225"/>
      <c r="E43" s="362"/>
      <c r="F43" s="40"/>
      <c r="G43" s="53"/>
      <c r="H43" s="40" t="str">
        <f>IF(G43=0,"",G43)</f>
        <v/>
      </c>
      <c r="I43" s="30"/>
      <c r="J43" s="59"/>
      <c r="K43" s="30"/>
      <c r="L43" s="207"/>
      <c r="M43" s="30"/>
      <c r="S43" s="229"/>
      <c r="T43" s="341"/>
    </row>
    <row r="44" spans="1:20" x14ac:dyDescent="0.25">
      <c r="A44" s="30"/>
      <c r="B44" s="345" t="s">
        <v>177</v>
      </c>
      <c r="C44" s="351" t="e">
        <f>(IF(B9="qualifizierte Hilfskraft",E9,0)+IF(B10="qualifizierte Hilfskraft",E10,0)+IF(B11="qualifizierte Hilfskraft",E11,0)+IF(B12="qualifizierte Hilfskraft",E12,0)+IF(B13="qualifizierte Hilfskraft",E13,0)+IF(B14="qualifizierte Hilfskraft",E14,0)+IF(B15="qualifizierte Hilfskraft",E15,0)+IF(B16="qualifizierte Hilfskraft",E16,0)+IF(B17="qualifizierte Hilfskraft",E17,0)+IF(B18="qualifizierte Hilfskraft",E18,0)+IF(B19="qualifizierte Hilfskraft",E19,0)+IF(B20="qualifizierte Hilfskraft",E20,0)+IF(B21="qualifizierte Hilfskraft",E21,0)+IF(B22="qualifizierte Hilfskraft",E22,0)+IF(B23="qualifizierte Hilfskraft",E23,0)+IF(B24="qualifizierte Hilfskraft",E24,0)+IF(B25="qualifizierte Hilfskraft",E25,0)+IF(B26="qualifizierte Hilfskraft",E26,0)+IF(B27="qualifizierte Hilfskraft",E27,0)+IF(B28="qualifizierte Hilfskraft",E28,0)+IF(B29="qualifizierte Hilfskraft",E29,0)+IF(B30="qualifizierte Hilfskraft",E30,0)+IF(B31="qualifizierte Hilfskraft",E31,0)+IF(B32="qualifizierte Hilfskraft",E32,0)+IF(B33="qualifizierte Hilfskraft",E33,0)+IF(B34="qualifizierte Hilfskraft",E34,0)+IF(B35="qualifizierte Hilfskraft",E35,0)+IF(B36="qualifizierte Hilfskraft",E36,0)+IF(B37="qualifizierte Hilfskraft",E37,0)+IF(B38="qualifizierte Hilfskraft",E38,0))/SUM(J9:J43)</f>
        <v>#DIV/0!</v>
      </c>
      <c r="D44" s="30"/>
      <c r="E44" s="33"/>
      <c r="F44" s="35"/>
      <c r="G44" s="35"/>
      <c r="H44" s="35"/>
      <c r="I44" s="30"/>
      <c r="J44" s="346"/>
      <c r="L44" s="207" t="e">
        <f>IF(C44&gt;15%,"Bitte Stellenanteile prüfen. Der Anteil qualifizierter Hilfskräfte darf 15 Prozent nicht überschreiten!","")</f>
        <v>#DIV/0!</v>
      </c>
      <c r="M44" s="30"/>
    </row>
    <row r="45" spans="1:20" x14ac:dyDescent="0.25">
      <c r="A45" s="30"/>
      <c r="B45" s="30"/>
      <c r="C45" s="30"/>
      <c r="D45" s="30"/>
      <c r="E45" s="33"/>
      <c r="F45" s="35"/>
      <c r="G45" s="35"/>
      <c r="H45" s="35"/>
      <c r="I45" s="30"/>
      <c r="J45" s="46"/>
      <c r="K45" s="30"/>
      <c r="L45" s="30"/>
      <c r="M45" s="30"/>
    </row>
    <row r="46" spans="1:20" x14ac:dyDescent="0.25">
      <c r="A46" s="37" t="s">
        <v>40</v>
      </c>
      <c r="B46" s="37"/>
      <c r="C46" s="37"/>
      <c r="D46" s="37"/>
      <c r="E46" s="42"/>
      <c r="F46" s="35"/>
      <c r="G46" s="35"/>
      <c r="H46" s="35"/>
      <c r="I46" s="38">
        <f>IF(N46="Fehler","Fehler",SUM(H47:H85))</f>
        <v>0</v>
      </c>
      <c r="J46" s="47">
        <f>SUM(J47:J85)</f>
        <v>0</v>
      </c>
      <c r="K46" s="144">
        <f>ROUND(J46*O6,2)</f>
        <v>0</v>
      </c>
      <c r="L46" s="45"/>
      <c r="M46" s="48"/>
    </row>
    <row r="47" spans="1:20" x14ac:dyDescent="0.25">
      <c r="A47" s="41" t="str">
        <f>IF('PK AN-Brutto kA'!A10="","",'PK AN-Brutto kA'!A10)</f>
        <v/>
      </c>
      <c r="B47" s="400"/>
      <c r="C47" s="225" t="str">
        <f>IF('PK AN-Brutto kA'!C10="","",'PK AN-Brutto kA'!C10)</f>
        <v/>
      </c>
      <c r="D47" s="225" t="str">
        <f>IF('PK AN-Brutto kA'!D10="","",'PK AN-Brutto kA'!D10)</f>
        <v/>
      </c>
      <c r="E47" s="304"/>
      <c r="F47" s="40" t="str">
        <f>'PK AG_Brutto'!J43</f>
        <v/>
      </c>
      <c r="G47" s="302"/>
      <c r="H47" s="40" t="str">
        <f t="shared" ref="H47" si="5">IF(AND(F47="",G47=0),"",IF(G47&gt;0,E47*G47,E47*F47))</f>
        <v/>
      </c>
      <c r="I47" s="30"/>
      <c r="J47" s="58" t="str">
        <f t="shared" ref="J47:J74" si="6">IF(E47="","",E47)</f>
        <v/>
      </c>
      <c r="K47" s="30"/>
      <c r="L47" s="207" t="str">
        <f t="shared" ref="L47:L84" si="7">IF(E47&gt;0,IF(H47="","Bitte Personalkosten in den folgenden Tabellenblättern oder alternativ in Spalte F eintragen",""),IF(H47="","","Stellenanteil -VZK oder Multiplikator für die Personalkosten eintragen"))</f>
        <v/>
      </c>
      <c r="M47" s="30"/>
      <c r="S47" s="343"/>
      <c r="T47" s="341"/>
    </row>
    <row r="48" spans="1:20" x14ac:dyDescent="0.25">
      <c r="A48" s="41" t="str">
        <f>IF('PK AN-Brutto kA'!A11="","",'PK AN-Brutto kA'!A11)</f>
        <v/>
      </c>
      <c r="B48" s="400"/>
      <c r="C48" s="225" t="str">
        <f>IF('PK AN-Brutto kA'!C11="","",'PK AN-Brutto kA'!C11)</f>
        <v/>
      </c>
      <c r="D48" s="225" t="str">
        <f>IF('PK AN-Brutto kA'!D11="","",'PK AN-Brutto kA'!D11)</f>
        <v/>
      </c>
      <c r="E48" s="304"/>
      <c r="F48" s="40" t="str">
        <f>'PK AG_Brutto'!J44</f>
        <v/>
      </c>
      <c r="G48" s="302"/>
      <c r="H48" s="40" t="str">
        <f t="shared" ref="H48:H74" si="8">IF(AND(F48="",G48=0),"",IF(G48&gt;0,E48*G48,E48*F48))</f>
        <v/>
      </c>
      <c r="I48" s="30"/>
      <c r="J48" s="58" t="str">
        <f t="shared" si="6"/>
        <v/>
      </c>
      <c r="K48" s="30"/>
      <c r="L48" s="207" t="str">
        <f t="shared" si="7"/>
        <v/>
      </c>
      <c r="M48" s="30"/>
      <c r="S48" s="343"/>
      <c r="T48" s="341"/>
    </row>
    <row r="49" spans="1:20" x14ac:dyDescent="0.25">
      <c r="A49" s="41" t="str">
        <f>IF('PK AN-Brutto kA'!A12="","",'PK AN-Brutto kA'!A12)</f>
        <v/>
      </c>
      <c r="B49" s="400"/>
      <c r="C49" s="225" t="str">
        <f>IF('PK AN-Brutto kA'!C12="","",'PK AN-Brutto kA'!C12)</f>
        <v/>
      </c>
      <c r="D49" s="225" t="str">
        <f>IF('PK AN-Brutto kA'!D12="","",'PK AN-Brutto kA'!D12)</f>
        <v/>
      </c>
      <c r="E49" s="304"/>
      <c r="F49" s="40" t="str">
        <f>'PK AG_Brutto'!J45</f>
        <v/>
      </c>
      <c r="G49" s="302"/>
      <c r="H49" s="40" t="str">
        <f t="shared" si="8"/>
        <v/>
      </c>
      <c r="I49" s="30"/>
      <c r="J49" s="58" t="str">
        <f t="shared" si="6"/>
        <v/>
      </c>
      <c r="K49" s="30"/>
      <c r="L49" s="207" t="str">
        <f t="shared" si="7"/>
        <v/>
      </c>
      <c r="M49" s="30"/>
      <c r="S49" s="343"/>
      <c r="T49" s="341"/>
    </row>
    <row r="50" spans="1:20" x14ac:dyDescent="0.25">
      <c r="A50" s="41" t="str">
        <f>IF('PK AN-Brutto kA'!A13="","",'PK AN-Brutto kA'!A13)</f>
        <v/>
      </c>
      <c r="B50" s="400"/>
      <c r="C50" s="225" t="str">
        <f>IF('PK AN-Brutto kA'!C13="","",'PK AN-Brutto kA'!C13)</f>
        <v/>
      </c>
      <c r="D50" s="225" t="str">
        <f>IF('PK AN-Brutto kA'!D13="","",'PK AN-Brutto kA'!D13)</f>
        <v/>
      </c>
      <c r="E50" s="304"/>
      <c r="F50" s="40" t="str">
        <f>'PK AG_Brutto'!J46</f>
        <v/>
      </c>
      <c r="G50" s="302"/>
      <c r="H50" s="40" t="str">
        <f t="shared" si="8"/>
        <v/>
      </c>
      <c r="I50" s="30"/>
      <c r="J50" s="58" t="str">
        <f t="shared" si="6"/>
        <v/>
      </c>
      <c r="K50" s="30"/>
      <c r="L50" s="207" t="str">
        <f t="shared" si="7"/>
        <v/>
      </c>
      <c r="M50" s="30"/>
      <c r="S50" s="343"/>
      <c r="T50" s="341"/>
    </row>
    <row r="51" spans="1:20" x14ac:dyDescent="0.25">
      <c r="A51" s="41" t="str">
        <f>IF('PK AN-Brutto kA'!A14="","",'PK AN-Brutto kA'!A14)</f>
        <v/>
      </c>
      <c r="B51" s="400"/>
      <c r="C51" s="225" t="str">
        <f>IF('PK AN-Brutto kA'!C14="","",'PK AN-Brutto kA'!C14)</f>
        <v/>
      </c>
      <c r="D51" s="225" t="str">
        <f>IF('PK AN-Brutto kA'!D14="","",'PK AN-Brutto kA'!D14)</f>
        <v/>
      </c>
      <c r="E51" s="304"/>
      <c r="F51" s="40" t="str">
        <f>'PK AG_Brutto'!J47</f>
        <v/>
      </c>
      <c r="G51" s="302"/>
      <c r="H51" s="40" t="str">
        <f t="shared" si="8"/>
        <v/>
      </c>
      <c r="I51" s="30"/>
      <c r="J51" s="58" t="str">
        <f t="shared" si="6"/>
        <v/>
      </c>
      <c r="K51" s="30"/>
      <c r="L51" s="207" t="str">
        <f t="shared" si="7"/>
        <v/>
      </c>
      <c r="M51" s="30"/>
      <c r="S51" s="343"/>
      <c r="T51" s="341"/>
    </row>
    <row r="52" spans="1:20" x14ac:dyDescent="0.25">
      <c r="A52" s="41" t="str">
        <f>IF('PK AN-Brutto kA'!A15="","",'PK AN-Brutto kA'!A15)</f>
        <v/>
      </c>
      <c r="B52" s="400"/>
      <c r="C52" s="225" t="str">
        <f>IF('PK AN-Brutto kA'!C15="","",'PK AN-Brutto kA'!C15)</f>
        <v/>
      </c>
      <c r="D52" s="225" t="str">
        <f>IF('PK AN-Brutto kA'!D15="","",'PK AN-Brutto kA'!D15)</f>
        <v/>
      </c>
      <c r="E52" s="304"/>
      <c r="F52" s="40" t="str">
        <f>'PK AG_Brutto'!J48</f>
        <v/>
      </c>
      <c r="G52" s="302"/>
      <c r="H52" s="40" t="str">
        <f t="shared" si="8"/>
        <v/>
      </c>
      <c r="I52" s="30"/>
      <c r="J52" s="58" t="str">
        <f t="shared" si="6"/>
        <v/>
      </c>
      <c r="K52" s="30"/>
      <c r="L52" s="207" t="str">
        <f t="shared" si="7"/>
        <v/>
      </c>
      <c r="M52" s="30"/>
      <c r="S52" s="343"/>
      <c r="T52" s="341"/>
    </row>
    <row r="53" spans="1:20" x14ac:dyDescent="0.25">
      <c r="A53" s="41" t="str">
        <f>IF('PK AN-Brutto kA'!A16="","",'PK AN-Brutto kA'!A16)</f>
        <v/>
      </c>
      <c r="B53" s="400"/>
      <c r="C53" s="225" t="str">
        <f>IF('PK AN-Brutto kA'!C16="","",'PK AN-Brutto kA'!C16)</f>
        <v/>
      </c>
      <c r="D53" s="225" t="str">
        <f>IF('PK AN-Brutto kA'!D16="","",'PK AN-Brutto kA'!D16)</f>
        <v/>
      </c>
      <c r="E53" s="304"/>
      <c r="F53" s="40" t="str">
        <f>'PK AG_Brutto'!J49</f>
        <v/>
      </c>
      <c r="G53" s="302"/>
      <c r="H53" s="40" t="str">
        <f t="shared" si="8"/>
        <v/>
      </c>
      <c r="I53" s="30"/>
      <c r="J53" s="58" t="str">
        <f t="shared" si="6"/>
        <v/>
      </c>
      <c r="K53" s="30"/>
      <c r="L53" s="207" t="str">
        <f t="shared" si="7"/>
        <v/>
      </c>
      <c r="M53" s="30"/>
      <c r="S53" s="343"/>
      <c r="T53" s="341"/>
    </row>
    <row r="54" spans="1:20" x14ac:dyDescent="0.25">
      <c r="A54" s="41" t="str">
        <f>IF('PK AN-Brutto kA'!A17="","",'PK AN-Brutto kA'!A17)</f>
        <v/>
      </c>
      <c r="B54" s="400"/>
      <c r="C54" s="225" t="str">
        <f>IF('PK AN-Brutto kA'!C17="","",'PK AN-Brutto kA'!C17)</f>
        <v/>
      </c>
      <c r="D54" s="225" t="str">
        <f>IF('PK AN-Brutto kA'!D17="","",'PK AN-Brutto kA'!D17)</f>
        <v/>
      </c>
      <c r="E54" s="304"/>
      <c r="F54" s="40" t="str">
        <f>'PK AG_Brutto'!J50</f>
        <v/>
      </c>
      <c r="G54" s="302"/>
      <c r="H54" s="40" t="str">
        <f t="shared" si="8"/>
        <v/>
      </c>
      <c r="I54" s="30"/>
      <c r="J54" s="58" t="str">
        <f t="shared" si="6"/>
        <v/>
      </c>
      <c r="K54" s="30"/>
      <c r="L54" s="207" t="str">
        <f t="shared" si="7"/>
        <v/>
      </c>
      <c r="M54" s="30"/>
      <c r="S54" s="343"/>
      <c r="T54" s="341"/>
    </row>
    <row r="55" spans="1:20" x14ac:dyDescent="0.25">
      <c r="A55" s="41" t="str">
        <f>IF('PK AN-Brutto kA'!A18="","",'PK AN-Brutto kA'!A18)</f>
        <v/>
      </c>
      <c r="B55" s="400"/>
      <c r="C55" s="225" t="str">
        <f>IF('PK AN-Brutto kA'!C18="","",'PK AN-Brutto kA'!C18)</f>
        <v/>
      </c>
      <c r="D55" s="225" t="str">
        <f>IF('PK AN-Brutto kA'!D18="","",'PK AN-Brutto kA'!D18)</f>
        <v/>
      </c>
      <c r="E55" s="304"/>
      <c r="F55" s="40" t="str">
        <f>'PK AG_Brutto'!J51</f>
        <v/>
      </c>
      <c r="G55" s="302"/>
      <c r="H55" s="40" t="str">
        <f t="shared" si="8"/>
        <v/>
      </c>
      <c r="I55" s="30"/>
      <c r="J55" s="58" t="str">
        <f t="shared" si="6"/>
        <v/>
      </c>
      <c r="K55" s="30"/>
      <c r="L55" s="207" t="str">
        <f t="shared" si="7"/>
        <v/>
      </c>
      <c r="M55" s="30"/>
      <c r="S55" s="343"/>
      <c r="T55" s="341"/>
    </row>
    <row r="56" spans="1:20" x14ac:dyDescent="0.25">
      <c r="A56" s="41" t="str">
        <f>IF('PK AN-Brutto kA'!A19="","",'PK AN-Brutto kA'!A19)</f>
        <v/>
      </c>
      <c r="B56" s="400"/>
      <c r="C56" s="225" t="str">
        <f>IF('PK AN-Brutto kA'!C19="","",'PK AN-Brutto kA'!C19)</f>
        <v/>
      </c>
      <c r="D56" s="225" t="str">
        <f>IF('PK AN-Brutto kA'!D19="","",'PK AN-Brutto kA'!D19)</f>
        <v/>
      </c>
      <c r="E56" s="304"/>
      <c r="F56" s="40" t="str">
        <f>'PK AG_Brutto'!J52</f>
        <v/>
      </c>
      <c r="G56" s="302"/>
      <c r="H56" s="40" t="str">
        <f t="shared" si="8"/>
        <v/>
      </c>
      <c r="I56" s="30"/>
      <c r="J56" s="58" t="str">
        <f t="shared" si="6"/>
        <v/>
      </c>
      <c r="K56" s="30"/>
      <c r="L56" s="207" t="str">
        <f t="shared" si="7"/>
        <v/>
      </c>
      <c r="M56" s="30"/>
      <c r="S56" s="343"/>
      <c r="T56" s="341"/>
    </row>
    <row r="57" spans="1:20" x14ac:dyDescent="0.25">
      <c r="A57" s="41" t="str">
        <f>IF('PK AN-Brutto kA'!A20="","",'PK AN-Brutto kA'!A20)</f>
        <v/>
      </c>
      <c r="B57" s="400"/>
      <c r="C57" s="225" t="str">
        <f>IF('PK AN-Brutto kA'!C20="","",'PK AN-Brutto kA'!C20)</f>
        <v/>
      </c>
      <c r="D57" s="225" t="str">
        <f>IF('PK AN-Brutto kA'!D20="","",'PK AN-Brutto kA'!D20)</f>
        <v/>
      </c>
      <c r="E57" s="304"/>
      <c r="F57" s="40" t="str">
        <f>'PK AG_Brutto'!J53</f>
        <v/>
      </c>
      <c r="G57" s="302"/>
      <c r="H57" s="40" t="str">
        <f t="shared" si="8"/>
        <v/>
      </c>
      <c r="I57" s="30"/>
      <c r="J57" s="58" t="str">
        <f t="shared" si="6"/>
        <v/>
      </c>
      <c r="K57" s="30"/>
      <c r="L57" s="207" t="str">
        <f t="shared" si="7"/>
        <v/>
      </c>
      <c r="M57" s="30"/>
      <c r="S57" s="343"/>
      <c r="T57" s="341"/>
    </row>
    <row r="58" spans="1:20" x14ac:dyDescent="0.25">
      <c r="A58" s="41" t="str">
        <f>IF('PK AN-Brutto kA'!A21="","",'PK AN-Brutto kA'!A21)</f>
        <v/>
      </c>
      <c r="B58" s="400"/>
      <c r="C58" s="225" t="str">
        <f>IF('PK AN-Brutto kA'!C21="","",'PK AN-Brutto kA'!C21)</f>
        <v/>
      </c>
      <c r="D58" s="225" t="str">
        <f>IF('PK AN-Brutto kA'!D21="","",'PK AN-Brutto kA'!D21)</f>
        <v/>
      </c>
      <c r="E58" s="304"/>
      <c r="F58" s="40" t="str">
        <f>'PK AG_Brutto'!J54</f>
        <v/>
      </c>
      <c r="G58" s="302"/>
      <c r="H58" s="40" t="str">
        <f t="shared" si="8"/>
        <v/>
      </c>
      <c r="I58" s="30"/>
      <c r="J58" s="58" t="str">
        <f t="shared" si="6"/>
        <v/>
      </c>
      <c r="K58" s="30"/>
      <c r="L58" s="207" t="str">
        <f t="shared" si="7"/>
        <v/>
      </c>
      <c r="M58" s="30"/>
      <c r="S58" s="343"/>
      <c r="T58" s="341"/>
    </row>
    <row r="59" spans="1:20" x14ac:dyDescent="0.25">
      <c r="A59" s="41" t="str">
        <f>IF('PK AN-Brutto kA'!A22="","",'PK AN-Brutto kA'!A22)</f>
        <v/>
      </c>
      <c r="B59" s="400"/>
      <c r="C59" s="225" t="str">
        <f>IF('PK AN-Brutto kA'!C22="","",'PK AN-Brutto kA'!C22)</f>
        <v/>
      </c>
      <c r="D59" s="225" t="str">
        <f>IF('PK AN-Brutto kA'!D22="","",'PK AN-Brutto kA'!D22)</f>
        <v/>
      </c>
      <c r="E59" s="304"/>
      <c r="F59" s="40" t="str">
        <f>'PK AG_Brutto'!J55</f>
        <v/>
      </c>
      <c r="G59" s="302"/>
      <c r="H59" s="40" t="str">
        <f t="shared" si="8"/>
        <v/>
      </c>
      <c r="I59" s="30"/>
      <c r="J59" s="58" t="str">
        <f t="shared" si="6"/>
        <v/>
      </c>
      <c r="K59" s="30"/>
      <c r="L59" s="207" t="str">
        <f t="shared" si="7"/>
        <v/>
      </c>
      <c r="M59" s="30"/>
      <c r="S59" s="343"/>
      <c r="T59" s="341"/>
    </row>
    <row r="60" spans="1:20" x14ac:dyDescent="0.25">
      <c r="A60" s="41" t="str">
        <f>IF('PK AN-Brutto kA'!A23="","",'PK AN-Brutto kA'!A23)</f>
        <v/>
      </c>
      <c r="B60" s="400"/>
      <c r="C60" s="225" t="str">
        <f>IF('PK AN-Brutto kA'!C23="","",'PK AN-Brutto kA'!C23)</f>
        <v/>
      </c>
      <c r="D60" s="225" t="str">
        <f>IF('PK AN-Brutto kA'!D23="","",'PK AN-Brutto kA'!D23)</f>
        <v/>
      </c>
      <c r="E60" s="304"/>
      <c r="F60" s="40" t="str">
        <f>'PK AG_Brutto'!J56</f>
        <v/>
      </c>
      <c r="G60" s="302"/>
      <c r="H60" s="40" t="str">
        <f t="shared" si="8"/>
        <v/>
      </c>
      <c r="I60" s="30"/>
      <c r="J60" s="58" t="str">
        <f t="shared" si="6"/>
        <v/>
      </c>
      <c r="K60" s="30"/>
      <c r="L60" s="207" t="str">
        <f t="shared" si="7"/>
        <v/>
      </c>
      <c r="M60" s="30"/>
      <c r="S60" s="343"/>
      <c r="T60" s="341"/>
    </row>
    <row r="61" spans="1:20" x14ac:dyDescent="0.25">
      <c r="A61" s="41" t="str">
        <f>IF('PK AN-Brutto kA'!A24="","",'PK AN-Brutto kA'!A24)</f>
        <v/>
      </c>
      <c r="B61" s="400"/>
      <c r="C61" s="225" t="str">
        <f>IF('PK AN-Brutto kA'!C24="","",'PK AN-Brutto kA'!C24)</f>
        <v/>
      </c>
      <c r="D61" s="225" t="str">
        <f>IF('PK AN-Brutto kA'!D24="","",'PK AN-Brutto kA'!D24)</f>
        <v/>
      </c>
      <c r="E61" s="304"/>
      <c r="F61" s="40" t="str">
        <f>'PK AG_Brutto'!J57</f>
        <v/>
      </c>
      <c r="G61" s="302"/>
      <c r="H61" s="40" t="str">
        <f t="shared" si="8"/>
        <v/>
      </c>
      <c r="I61" s="30"/>
      <c r="J61" s="58" t="str">
        <f t="shared" si="6"/>
        <v/>
      </c>
      <c r="K61" s="30"/>
      <c r="L61" s="207" t="str">
        <f t="shared" si="7"/>
        <v/>
      </c>
      <c r="M61" s="30"/>
      <c r="S61" s="343"/>
      <c r="T61" s="341"/>
    </row>
    <row r="62" spans="1:20" x14ac:dyDescent="0.25">
      <c r="A62" s="41" t="str">
        <f>IF('PK AN-Brutto kA'!A25="","",'PK AN-Brutto kA'!A25)</f>
        <v/>
      </c>
      <c r="B62" s="400"/>
      <c r="C62" s="225" t="str">
        <f>IF('PK AN-Brutto kA'!C25="","",'PK AN-Brutto kA'!C25)</f>
        <v/>
      </c>
      <c r="D62" s="225" t="str">
        <f>IF('PK AN-Brutto kA'!D25="","",'PK AN-Brutto kA'!D25)</f>
        <v/>
      </c>
      <c r="E62" s="304"/>
      <c r="F62" s="40" t="str">
        <f>'PK AG_Brutto'!J58</f>
        <v/>
      </c>
      <c r="G62" s="302"/>
      <c r="H62" s="40" t="str">
        <f t="shared" si="8"/>
        <v/>
      </c>
      <c r="I62" s="30"/>
      <c r="J62" s="58" t="str">
        <f t="shared" si="6"/>
        <v/>
      </c>
      <c r="K62" s="30"/>
      <c r="L62" s="207" t="str">
        <f t="shared" si="7"/>
        <v/>
      </c>
      <c r="M62" s="30"/>
      <c r="S62" s="343"/>
      <c r="T62" s="341"/>
    </row>
    <row r="63" spans="1:20" x14ac:dyDescent="0.25">
      <c r="A63" s="41" t="str">
        <f>IF('PK AN-Brutto kA'!A26="","",'PK AN-Brutto kA'!A26)</f>
        <v/>
      </c>
      <c r="B63" s="400"/>
      <c r="C63" s="225" t="str">
        <f>IF('PK AN-Brutto kA'!C26="","",'PK AN-Brutto kA'!C26)</f>
        <v/>
      </c>
      <c r="D63" s="225" t="str">
        <f>IF('PK AN-Brutto kA'!D26="","",'PK AN-Brutto kA'!D26)</f>
        <v/>
      </c>
      <c r="E63" s="304"/>
      <c r="F63" s="40" t="str">
        <f>'PK AG_Brutto'!J59</f>
        <v/>
      </c>
      <c r="G63" s="302"/>
      <c r="H63" s="40" t="str">
        <f t="shared" si="8"/>
        <v/>
      </c>
      <c r="I63" s="30"/>
      <c r="J63" s="58" t="str">
        <f t="shared" si="6"/>
        <v/>
      </c>
      <c r="K63" s="30"/>
      <c r="L63" s="207" t="str">
        <f t="shared" si="7"/>
        <v/>
      </c>
      <c r="M63" s="30"/>
      <c r="S63" s="343"/>
      <c r="T63" s="341"/>
    </row>
    <row r="64" spans="1:20" x14ac:dyDescent="0.25">
      <c r="A64" s="41" t="str">
        <f>IF('PK AN-Brutto kA'!A27="","",'PK AN-Brutto kA'!A27)</f>
        <v/>
      </c>
      <c r="B64" s="400"/>
      <c r="C64" s="225" t="str">
        <f>IF('PK AN-Brutto kA'!C27="","",'PK AN-Brutto kA'!C27)</f>
        <v/>
      </c>
      <c r="D64" s="225" t="str">
        <f>IF('PK AN-Brutto kA'!D27="","",'PK AN-Brutto kA'!D27)</f>
        <v/>
      </c>
      <c r="E64" s="304"/>
      <c r="F64" s="40" t="str">
        <f>'PK AG_Brutto'!J60</f>
        <v/>
      </c>
      <c r="G64" s="302"/>
      <c r="H64" s="40" t="str">
        <f t="shared" si="8"/>
        <v/>
      </c>
      <c r="I64" s="30"/>
      <c r="J64" s="58" t="str">
        <f t="shared" si="6"/>
        <v/>
      </c>
      <c r="K64" s="30"/>
      <c r="L64" s="207" t="str">
        <f t="shared" si="7"/>
        <v/>
      </c>
      <c r="M64" s="30"/>
      <c r="S64" s="343"/>
      <c r="T64" s="341"/>
    </row>
    <row r="65" spans="1:20" x14ac:dyDescent="0.25">
      <c r="A65" s="41" t="str">
        <f>IF('PK AN-Brutto kA'!A28="","",'PK AN-Brutto kA'!A28)</f>
        <v/>
      </c>
      <c r="B65" s="400"/>
      <c r="C65" s="225" t="str">
        <f>IF('PK AN-Brutto kA'!C28="","",'PK AN-Brutto kA'!C28)</f>
        <v/>
      </c>
      <c r="D65" s="225" t="str">
        <f>IF('PK AN-Brutto kA'!D28="","",'PK AN-Brutto kA'!D28)</f>
        <v/>
      </c>
      <c r="E65" s="304"/>
      <c r="F65" s="40" t="str">
        <f>'PK AG_Brutto'!J61</f>
        <v/>
      </c>
      <c r="G65" s="302"/>
      <c r="H65" s="40" t="str">
        <f t="shared" si="8"/>
        <v/>
      </c>
      <c r="I65" s="30"/>
      <c r="J65" s="58" t="str">
        <f t="shared" si="6"/>
        <v/>
      </c>
      <c r="K65" s="30"/>
      <c r="L65" s="207" t="str">
        <f t="shared" si="7"/>
        <v/>
      </c>
      <c r="M65" s="30"/>
      <c r="S65" s="343"/>
      <c r="T65" s="341"/>
    </row>
    <row r="66" spans="1:20" x14ac:dyDescent="0.25">
      <c r="A66" s="41" t="str">
        <f>IF('PK AN-Brutto kA'!A29="","",'PK AN-Brutto kA'!A29)</f>
        <v/>
      </c>
      <c r="B66" s="400"/>
      <c r="C66" s="225" t="str">
        <f>IF('PK AN-Brutto kA'!C29="","",'PK AN-Brutto kA'!C29)</f>
        <v/>
      </c>
      <c r="D66" s="225" t="str">
        <f>IF('PK AN-Brutto kA'!D29="","",'PK AN-Brutto kA'!D29)</f>
        <v/>
      </c>
      <c r="E66" s="304"/>
      <c r="F66" s="40" t="str">
        <f>'PK AG_Brutto'!J62</f>
        <v/>
      </c>
      <c r="G66" s="302"/>
      <c r="H66" s="40" t="str">
        <f t="shared" si="8"/>
        <v/>
      </c>
      <c r="I66" s="30"/>
      <c r="J66" s="58" t="str">
        <f t="shared" si="6"/>
        <v/>
      </c>
      <c r="K66" s="30"/>
      <c r="L66" s="207" t="str">
        <f t="shared" si="7"/>
        <v/>
      </c>
      <c r="M66" s="30"/>
      <c r="S66" s="343"/>
      <c r="T66" s="341"/>
    </row>
    <row r="67" spans="1:20" x14ac:dyDescent="0.25">
      <c r="A67" s="41" t="str">
        <f>IF('PK AN-Brutto kA'!A30="","",'PK AN-Brutto kA'!A30)</f>
        <v/>
      </c>
      <c r="B67" s="400"/>
      <c r="C67" s="225" t="str">
        <f>IF('PK AN-Brutto kA'!C30="","",'PK AN-Brutto kA'!C30)</f>
        <v/>
      </c>
      <c r="D67" s="225" t="str">
        <f>IF('PK AN-Brutto kA'!D30="","",'PK AN-Brutto kA'!D30)</f>
        <v/>
      </c>
      <c r="E67" s="304"/>
      <c r="F67" s="40" t="str">
        <f>'PK AG_Brutto'!J63</f>
        <v/>
      </c>
      <c r="G67" s="302"/>
      <c r="H67" s="40" t="str">
        <f t="shared" si="8"/>
        <v/>
      </c>
      <c r="I67" s="30"/>
      <c r="J67" s="58" t="str">
        <f t="shared" si="6"/>
        <v/>
      </c>
      <c r="K67" s="30"/>
      <c r="L67" s="207" t="str">
        <f t="shared" si="7"/>
        <v/>
      </c>
      <c r="M67" s="30"/>
      <c r="S67" s="343"/>
      <c r="T67" s="341"/>
    </row>
    <row r="68" spans="1:20" x14ac:dyDescent="0.25">
      <c r="A68" s="41" t="str">
        <f>IF('PK AN-Brutto kA'!A31="","",'PK AN-Brutto kA'!A31)</f>
        <v/>
      </c>
      <c r="B68" s="400"/>
      <c r="C68" s="225" t="str">
        <f>IF('PK AN-Brutto kA'!C31="","",'PK AN-Brutto kA'!C31)</f>
        <v/>
      </c>
      <c r="D68" s="225" t="str">
        <f>IF('PK AN-Brutto kA'!D31="","",'PK AN-Brutto kA'!D31)</f>
        <v/>
      </c>
      <c r="E68" s="304"/>
      <c r="F68" s="40" t="str">
        <f>'PK AG_Brutto'!J64</f>
        <v/>
      </c>
      <c r="G68" s="302"/>
      <c r="H68" s="40" t="str">
        <f t="shared" si="8"/>
        <v/>
      </c>
      <c r="I68" s="30"/>
      <c r="J68" s="58" t="str">
        <f t="shared" si="6"/>
        <v/>
      </c>
      <c r="K68" s="30"/>
      <c r="L68" s="207" t="str">
        <f t="shared" si="7"/>
        <v/>
      </c>
      <c r="M68" s="30"/>
      <c r="S68" s="343"/>
      <c r="T68" s="341"/>
    </row>
    <row r="69" spans="1:20" x14ac:dyDescent="0.25">
      <c r="A69" s="41" t="str">
        <f>IF('PK AN-Brutto kA'!A32="","",'PK AN-Brutto kA'!A32)</f>
        <v/>
      </c>
      <c r="B69" s="400"/>
      <c r="C69" s="225" t="str">
        <f>IF('PK AN-Brutto kA'!C32="","",'PK AN-Brutto kA'!C32)</f>
        <v/>
      </c>
      <c r="D69" s="225" t="str">
        <f>IF('PK AN-Brutto kA'!D32="","",'PK AN-Brutto kA'!D32)</f>
        <v/>
      </c>
      <c r="E69" s="304"/>
      <c r="F69" s="40" t="str">
        <f>'PK AG_Brutto'!J65</f>
        <v/>
      </c>
      <c r="G69" s="302"/>
      <c r="H69" s="40" t="str">
        <f t="shared" si="8"/>
        <v/>
      </c>
      <c r="I69" s="30"/>
      <c r="J69" s="58" t="str">
        <f t="shared" si="6"/>
        <v/>
      </c>
      <c r="K69" s="30"/>
      <c r="L69" s="207" t="str">
        <f t="shared" si="7"/>
        <v/>
      </c>
      <c r="M69" s="30"/>
      <c r="S69" s="343"/>
      <c r="T69" s="341"/>
    </row>
    <row r="70" spans="1:20" x14ac:dyDescent="0.25">
      <c r="A70" s="41" t="str">
        <f>IF('PK AN-Brutto kA'!A33="","",'PK AN-Brutto kA'!A33)</f>
        <v/>
      </c>
      <c r="B70" s="400"/>
      <c r="C70" s="225" t="str">
        <f>IF('PK AN-Brutto kA'!C33="","",'PK AN-Brutto kA'!C33)</f>
        <v/>
      </c>
      <c r="D70" s="225" t="str">
        <f>IF('PK AN-Brutto kA'!D33="","",'PK AN-Brutto kA'!D33)</f>
        <v/>
      </c>
      <c r="E70" s="304"/>
      <c r="F70" s="40" t="str">
        <f>'PK AG_Brutto'!J66</f>
        <v/>
      </c>
      <c r="G70" s="302"/>
      <c r="H70" s="40" t="str">
        <f t="shared" si="8"/>
        <v/>
      </c>
      <c r="I70" s="30"/>
      <c r="J70" s="58" t="str">
        <f t="shared" si="6"/>
        <v/>
      </c>
      <c r="K70" s="30"/>
      <c r="L70" s="207" t="str">
        <f t="shared" si="7"/>
        <v/>
      </c>
      <c r="M70" s="30"/>
      <c r="S70" s="343"/>
      <c r="T70" s="341"/>
    </row>
    <row r="71" spans="1:20" x14ac:dyDescent="0.25">
      <c r="A71" s="41" t="str">
        <f>IF('PK AN-Brutto kA'!A34="","",'PK AN-Brutto kA'!A34)</f>
        <v/>
      </c>
      <c r="B71" s="400"/>
      <c r="C71" s="225" t="str">
        <f>IF('PK AN-Brutto kA'!C34="","",'PK AN-Brutto kA'!C34)</f>
        <v/>
      </c>
      <c r="D71" s="225" t="str">
        <f>IF('PK AN-Brutto kA'!D34="","",'PK AN-Brutto kA'!D34)</f>
        <v/>
      </c>
      <c r="E71" s="304"/>
      <c r="F71" s="40" t="str">
        <f>'PK AG_Brutto'!J67</f>
        <v/>
      </c>
      <c r="G71" s="302"/>
      <c r="H71" s="40" t="str">
        <f t="shared" si="8"/>
        <v/>
      </c>
      <c r="I71" s="30"/>
      <c r="J71" s="58" t="str">
        <f t="shared" si="6"/>
        <v/>
      </c>
      <c r="K71" s="30"/>
      <c r="L71" s="207" t="str">
        <f t="shared" si="7"/>
        <v/>
      </c>
      <c r="M71" s="30"/>
      <c r="S71" s="343"/>
      <c r="T71" s="341"/>
    </row>
    <row r="72" spans="1:20" x14ac:dyDescent="0.25">
      <c r="A72" s="41" t="str">
        <f>IF('PK AN-Brutto kA'!A35="","",'PK AN-Brutto kA'!A35)</f>
        <v/>
      </c>
      <c r="B72" s="400"/>
      <c r="C72" s="225" t="str">
        <f>IF('PK AN-Brutto kA'!C35="","",'PK AN-Brutto kA'!C35)</f>
        <v/>
      </c>
      <c r="D72" s="225" t="str">
        <f>IF('PK AN-Brutto kA'!D35="","",'PK AN-Brutto kA'!D35)</f>
        <v/>
      </c>
      <c r="E72" s="304"/>
      <c r="F72" s="40" t="str">
        <f>'PK AG_Brutto'!J68</f>
        <v/>
      </c>
      <c r="G72" s="302"/>
      <c r="H72" s="40" t="str">
        <f t="shared" si="8"/>
        <v/>
      </c>
      <c r="I72" s="30"/>
      <c r="J72" s="58" t="str">
        <f t="shared" si="6"/>
        <v/>
      </c>
      <c r="K72" s="30"/>
      <c r="L72" s="207" t="str">
        <f t="shared" si="7"/>
        <v/>
      </c>
      <c r="M72" s="30"/>
      <c r="S72" s="343"/>
      <c r="T72" s="341"/>
    </row>
    <row r="73" spans="1:20" x14ac:dyDescent="0.25">
      <c r="A73" s="41" t="str">
        <f>IF('PK AN-Brutto kA'!A36="","",'PK AN-Brutto kA'!A36)</f>
        <v/>
      </c>
      <c r="B73" s="400"/>
      <c r="C73" s="225" t="str">
        <f>IF('PK AN-Brutto kA'!C36="","",'PK AN-Brutto kA'!C36)</f>
        <v/>
      </c>
      <c r="D73" s="225" t="str">
        <f>IF('PK AN-Brutto kA'!D36="","",'PK AN-Brutto kA'!D36)</f>
        <v/>
      </c>
      <c r="E73" s="304"/>
      <c r="F73" s="40" t="str">
        <f>'PK AG_Brutto'!J69</f>
        <v/>
      </c>
      <c r="G73" s="302"/>
      <c r="H73" s="40" t="str">
        <f t="shared" si="8"/>
        <v/>
      </c>
      <c r="I73" s="30"/>
      <c r="J73" s="58" t="str">
        <f t="shared" si="6"/>
        <v/>
      </c>
      <c r="K73" s="30"/>
      <c r="L73" s="207" t="str">
        <f t="shared" si="7"/>
        <v/>
      </c>
      <c r="M73" s="30"/>
      <c r="S73" s="343"/>
      <c r="T73" s="341"/>
    </row>
    <row r="74" spans="1:20" x14ac:dyDescent="0.25">
      <c r="A74" s="41" t="str">
        <f>IF('PK AN-Brutto kA'!A37="","",'PK AN-Brutto kA'!A37)</f>
        <v/>
      </c>
      <c r="B74" s="400"/>
      <c r="C74" s="225" t="str">
        <f>IF('PK AN-Brutto kA'!C37="","",'PK AN-Brutto kA'!C37)</f>
        <v/>
      </c>
      <c r="D74" s="225" t="str">
        <f>IF('PK AN-Brutto kA'!D37="","",'PK AN-Brutto kA'!D37)</f>
        <v/>
      </c>
      <c r="E74" s="304"/>
      <c r="F74" s="40" t="str">
        <f>'PK AG_Brutto'!J70</f>
        <v/>
      </c>
      <c r="G74" s="302"/>
      <c r="H74" s="40" t="str">
        <f t="shared" si="8"/>
        <v/>
      </c>
      <c r="I74" s="30"/>
      <c r="J74" s="58" t="str">
        <f t="shared" si="6"/>
        <v/>
      </c>
      <c r="K74" s="30"/>
      <c r="L74" s="207" t="str">
        <f t="shared" si="7"/>
        <v/>
      </c>
      <c r="M74" s="30"/>
      <c r="S74" s="343"/>
      <c r="T74" s="341"/>
    </row>
    <row r="75" spans="1:20" x14ac:dyDescent="0.25">
      <c r="A75" s="41" t="str">
        <f>IF('PK AN-Brutto kA'!A38="","",'PK AN-Brutto kA'!A38)</f>
        <v/>
      </c>
      <c r="B75" s="400"/>
      <c r="C75" s="225" t="str">
        <f>IF('PK AN-Brutto kA'!C38="","",'PK AN-Brutto kA'!C38)</f>
        <v/>
      </c>
      <c r="D75" s="225" t="str">
        <f>IF('PK AN-Brutto kA'!D38="","",'PK AN-Brutto kA'!D38)</f>
        <v/>
      </c>
      <c r="E75" s="304"/>
      <c r="F75" s="40" t="str">
        <f>'PK AG_Brutto'!J71</f>
        <v/>
      </c>
      <c r="G75" s="302"/>
      <c r="H75" s="40" t="str">
        <f t="shared" ref="H75:H76" si="9">IF(AND(F75="",G75=0),"",IF(G75&gt;0,E75*G75,E75*F75))</f>
        <v/>
      </c>
      <c r="I75" s="30"/>
      <c r="J75" s="58" t="str">
        <f t="shared" ref="J75:J76" si="10">IF(E75="","",E75)</f>
        <v/>
      </c>
      <c r="K75" s="30"/>
      <c r="L75" s="207" t="str">
        <f t="shared" si="7"/>
        <v/>
      </c>
      <c r="M75" s="30"/>
      <c r="S75" s="343"/>
      <c r="T75" s="341"/>
    </row>
    <row r="76" spans="1:20" x14ac:dyDescent="0.25">
      <c r="A76" s="41" t="str">
        <f>IF('PK AN-Brutto kA'!A39="","",'PK AN-Brutto kA'!A39)</f>
        <v/>
      </c>
      <c r="B76" s="400"/>
      <c r="C76" s="225" t="str">
        <f>IF('PK AN-Brutto kA'!C39="","",'PK AN-Brutto kA'!C39)</f>
        <v/>
      </c>
      <c r="D76" s="225" t="str">
        <f>IF('PK AN-Brutto kA'!D39="","",'PK AN-Brutto kA'!D39)</f>
        <v/>
      </c>
      <c r="E76" s="304"/>
      <c r="F76" s="40" t="str">
        <f>'PK AG_Brutto'!J72</f>
        <v/>
      </c>
      <c r="G76" s="302"/>
      <c r="H76" s="40" t="str">
        <f t="shared" si="9"/>
        <v/>
      </c>
      <c r="I76" s="30"/>
      <c r="J76" s="58" t="str">
        <f t="shared" si="10"/>
        <v/>
      </c>
      <c r="K76" s="30"/>
      <c r="L76" s="207" t="str">
        <f t="shared" si="7"/>
        <v/>
      </c>
      <c r="M76" s="30"/>
      <c r="S76" s="343"/>
      <c r="T76" s="341"/>
    </row>
    <row r="77" spans="1:20" x14ac:dyDescent="0.25">
      <c r="A77" s="500" t="str">
        <f>'Externer Wirtschaftsdienst'!B14</f>
        <v>geschätzter Stellenanteil externer Wirtschaftsdienst Reinigung</v>
      </c>
      <c r="B77" s="501"/>
      <c r="C77" s="501"/>
      <c r="D77" s="502"/>
      <c r="E77" s="494"/>
      <c r="F77" s="495"/>
      <c r="G77" s="496"/>
      <c r="H77" s="40" t="str">
        <f>IF('Externer Wirtschaftsdienst'!C13=0,"",'Externer Wirtschaftsdienst'!C13)</f>
        <v/>
      </c>
      <c r="I77" s="30"/>
      <c r="J77" s="58" t="str">
        <f>IF('Externer Wirtschaftsdienst'!C14="","",'Externer Wirtschaftsdienst'!C14)</f>
        <v/>
      </c>
      <c r="K77" s="30"/>
      <c r="L77" s="207"/>
      <c r="M77" s="30"/>
      <c r="S77" s="343"/>
      <c r="T77" s="341"/>
    </row>
    <row r="78" spans="1:20" x14ac:dyDescent="0.25">
      <c r="A78" s="500" t="str">
        <f>'Externer Wirtschaftsdienst'!B24</f>
        <v>geschätzter Stellenanteil externer Wirtschaftsdienst Wäsche</v>
      </c>
      <c r="B78" s="501"/>
      <c r="C78" s="501"/>
      <c r="D78" s="502"/>
      <c r="E78" s="494"/>
      <c r="F78" s="495"/>
      <c r="G78" s="496"/>
      <c r="H78" s="40" t="str">
        <f>IF('Externer Wirtschaftsdienst'!C23=0,"",'Externer Wirtschaftsdienst'!C23)</f>
        <v/>
      </c>
      <c r="I78" s="30"/>
      <c r="J78" s="58" t="str">
        <f>IF('Externer Wirtschaftsdienst'!C24="","",'Externer Wirtschaftsdienst'!C24)</f>
        <v/>
      </c>
      <c r="K78" s="30"/>
      <c r="L78" s="207"/>
      <c r="M78" s="30"/>
      <c r="S78" s="343"/>
      <c r="T78" s="341"/>
    </row>
    <row r="79" spans="1:20" x14ac:dyDescent="0.25">
      <c r="A79" s="500" t="str">
        <f>'Externer Wirtschaftsdienst'!B35</f>
        <v>geschätzter Stellenanteil externer Wirtschaftsdienst Küche</v>
      </c>
      <c r="B79" s="501"/>
      <c r="C79" s="501"/>
      <c r="D79" s="502"/>
      <c r="E79" s="494"/>
      <c r="F79" s="495"/>
      <c r="G79" s="496"/>
      <c r="H79" s="40" t="str">
        <f>IF('Externer Wirtschaftsdienst'!C34=0,"",'Externer Wirtschaftsdienst'!C34)</f>
        <v/>
      </c>
      <c r="I79" s="30"/>
      <c r="J79" s="58" t="str">
        <f>IF('Externer Wirtschaftsdienst'!C35="","",'Externer Wirtschaftsdienst'!C35)</f>
        <v/>
      </c>
      <c r="K79" s="30"/>
      <c r="L79" s="207"/>
      <c r="M79" s="30"/>
      <c r="S79" s="343"/>
      <c r="T79" s="341"/>
    </row>
    <row r="80" spans="1:20" x14ac:dyDescent="0.25">
      <c r="A80" s="41" t="str">
        <f>IF('PK AN-Brutto kA'!A40="","",'PK AN-Brutto kA'!A40)</f>
        <v>Auszubildende</v>
      </c>
      <c r="B80" s="400"/>
      <c r="C80" s="225" t="str">
        <f>IF('PK AN-Brutto kA'!C40="","",'PK AN-Brutto kA'!C40)</f>
        <v/>
      </c>
      <c r="D80" s="225" t="str">
        <f>IF('PK AN-Brutto kA'!D40="","",'PK AN-Brutto kA'!D40)</f>
        <v/>
      </c>
      <c r="E80" s="304"/>
      <c r="F80" s="40" t="str">
        <f>'PK AG_Brutto'!J73</f>
        <v/>
      </c>
      <c r="G80" s="302"/>
      <c r="H80" s="40" t="str">
        <f t="shared" ref="H80:H81" si="11">IF(AND(F80="",G80=0),"",IF(G80&gt;0,E80*G80,E80*F80))</f>
        <v/>
      </c>
      <c r="I80" s="30"/>
      <c r="J80" s="58" t="str">
        <f>IF(H80="","",IF($Q$6="","",ROUND(H80/$Q$6,2)))</f>
        <v/>
      </c>
      <c r="K80" s="364"/>
      <c r="L80" s="207" t="str">
        <f t="shared" si="7"/>
        <v/>
      </c>
      <c r="S80" s="343"/>
      <c r="T80" s="341"/>
    </row>
    <row r="81" spans="1:20" x14ac:dyDescent="0.25">
      <c r="A81" s="41" t="str">
        <f>IF('PK AN-Brutto kA'!A41="","",'PK AN-Brutto kA'!A41)</f>
        <v>Studierende</v>
      </c>
      <c r="B81" s="400"/>
      <c r="C81" s="225" t="str">
        <f>IF('PK AN-Brutto kA'!C41="","",'PK AN-Brutto kA'!C41)</f>
        <v/>
      </c>
      <c r="D81" s="225" t="str">
        <f>IF('PK AN-Brutto kA'!D41="","",'PK AN-Brutto kA'!D41)</f>
        <v/>
      </c>
      <c r="E81" s="304"/>
      <c r="F81" s="40" t="str">
        <f>'PK AG_Brutto'!J74</f>
        <v/>
      </c>
      <c r="G81" s="302"/>
      <c r="H81" s="40" t="str">
        <f t="shared" si="11"/>
        <v/>
      </c>
      <c r="I81" s="30"/>
      <c r="J81" s="58" t="str">
        <f>IF(H81="","",IF($Q$6="","",ROUND(H81/$Q$6,2)))</f>
        <v/>
      </c>
      <c r="K81" s="364"/>
      <c r="L81" s="207" t="str">
        <f t="shared" si="7"/>
        <v/>
      </c>
      <c r="S81" s="343"/>
      <c r="T81" s="341"/>
    </row>
    <row r="82" spans="1:20" x14ac:dyDescent="0.25">
      <c r="A82" s="41" t="str">
        <f>IF('PK AN-Brutto kA'!A42="","",'PK AN-Brutto kA'!A42)</f>
        <v>Praktikant:innen</v>
      </c>
      <c r="B82" s="400"/>
      <c r="C82" s="225" t="str">
        <f>IF('PK AN-Brutto kA'!C42="","",'PK AN-Brutto kA'!C42)</f>
        <v/>
      </c>
      <c r="D82" s="225" t="str">
        <f>IF('PK AN-Brutto kA'!D42="","",'PK AN-Brutto kA'!D42)</f>
        <v/>
      </c>
      <c r="E82" s="304"/>
      <c r="F82" s="40" t="str">
        <f>'PK AG_Brutto'!J75</f>
        <v/>
      </c>
      <c r="G82" s="302"/>
      <c r="H82" s="40" t="str">
        <f t="shared" ref="H82:H84" si="12">IF(AND(F82="",G82=0),"",IF(G82&gt;0,E82*G82,E82*F82))</f>
        <v/>
      </c>
      <c r="I82" s="30"/>
      <c r="J82" s="305"/>
      <c r="K82" s="30"/>
      <c r="L82" s="207" t="str">
        <f t="shared" si="7"/>
        <v/>
      </c>
      <c r="M82" s="30"/>
      <c r="S82" s="343"/>
      <c r="T82" s="341"/>
    </row>
    <row r="83" spans="1:20" x14ac:dyDescent="0.25">
      <c r="A83" s="41" t="str">
        <f>IF('PK AN-Brutto kA'!A43="","",'PK AN-Brutto kA'!A43)</f>
        <v>MiniJob</v>
      </c>
      <c r="B83" s="400"/>
      <c r="C83" s="225" t="str">
        <f>IF('PK AN-Brutto kA'!C43="","",'PK AN-Brutto kA'!C43)</f>
        <v/>
      </c>
      <c r="D83" s="225" t="str">
        <f>IF('PK AN-Brutto kA'!D43="","",'PK AN-Brutto kA'!D43)</f>
        <v/>
      </c>
      <c r="E83" s="304"/>
      <c r="F83" s="40" t="str">
        <f>'PK AG_Brutto'!J76</f>
        <v/>
      </c>
      <c r="G83" s="302"/>
      <c r="H83" s="40" t="str">
        <f t="shared" si="12"/>
        <v/>
      </c>
      <c r="I83" s="30"/>
      <c r="J83" s="305"/>
      <c r="K83" s="30"/>
      <c r="L83" s="207" t="str">
        <f t="shared" si="7"/>
        <v/>
      </c>
      <c r="M83" s="30"/>
      <c r="S83" s="343"/>
      <c r="T83" s="341"/>
    </row>
    <row r="84" spans="1:20" x14ac:dyDescent="0.25">
      <c r="A84" s="41" t="str">
        <f>IF('PK AN-Brutto kA'!A44="","",'PK AN-Brutto kA'!A44)</f>
        <v>FSJ / BFD</v>
      </c>
      <c r="B84" s="400"/>
      <c r="C84" s="225" t="str">
        <f>IF('PK AN-Brutto kA'!C44="","",'PK AN-Brutto kA'!C44)</f>
        <v/>
      </c>
      <c r="D84" s="225" t="str">
        <f>IF('PK AN-Brutto kA'!D44="","",'PK AN-Brutto kA'!D44)</f>
        <v/>
      </c>
      <c r="E84" s="304"/>
      <c r="F84" s="40" t="str">
        <f>'PK AG_Brutto'!J77</f>
        <v/>
      </c>
      <c r="G84" s="302"/>
      <c r="H84" s="40" t="str">
        <f t="shared" si="12"/>
        <v/>
      </c>
      <c r="I84" s="30"/>
      <c r="J84" s="305"/>
      <c r="K84" s="30"/>
      <c r="L84" s="207" t="str">
        <f t="shared" si="7"/>
        <v/>
      </c>
      <c r="M84" s="30"/>
      <c r="S84" s="343"/>
      <c r="T84" s="341"/>
    </row>
    <row r="85" spans="1:20" x14ac:dyDescent="0.25">
      <c r="A85" s="41" t="s">
        <v>48</v>
      </c>
      <c r="B85" s="400"/>
      <c r="C85" s="225"/>
      <c r="D85" s="225"/>
      <c r="E85" s="363"/>
      <c r="F85" s="40"/>
      <c r="G85" s="302"/>
      <c r="H85" s="40" t="str">
        <f>IF(G85=0,"",G85)</f>
        <v/>
      </c>
      <c r="I85" s="30"/>
      <c r="J85" s="305"/>
      <c r="K85" s="30"/>
      <c r="L85" s="207"/>
      <c r="M85" s="30"/>
      <c r="S85" s="343"/>
      <c r="T85" s="341"/>
    </row>
    <row r="86" spans="1:20" x14ac:dyDescent="0.25">
      <c r="A86" s="30"/>
      <c r="B86" s="30"/>
      <c r="C86" s="30"/>
      <c r="D86" s="30"/>
      <c r="E86" s="33"/>
      <c r="F86" s="35"/>
      <c r="G86" s="35"/>
      <c r="H86" s="35"/>
      <c r="I86" s="30"/>
      <c r="L86" s="30"/>
      <c r="M86" s="30"/>
    </row>
    <row r="87" spans="1:20" x14ac:dyDescent="0.25">
      <c r="A87" s="37" t="s">
        <v>43</v>
      </c>
      <c r="B87" s="37"/>
      <c r="C87" s="37"/>
      <c r="D87" s="37"/>
      <c r="E87" s="33"/>
      <c r="F87" s="35"/>
      <c r="G87" s="35"/>
      <c r="H87" s="35"/>
      <c r="I87" s="30"/>
      <c r="J87" s="46"/>
      <c r="K87" s="30"/>
      <c r="L87" s="30"/>
      <c r="M87" s="30"/>
    </row>
    <row r="88" spans="1:20" x14ac:dyDescent="0.25">
      <c r="A88" s="497" t="s">
        <v>207</v>
      </c>
      <c r="B88" s="498"/>
      <c r="C88" s="498"/>
      <c r="D88" s="499"/>
      <c r="E88" s="54"/>
      <c r="F88" s="43"/>
      <c r="G88" s="43"/>
      <c r="H88" s="38"/>
      <c r="I88" s="38">
        <f>IF(N88="Fehler","Fehler",IF(E88&gt;0,(I$8+I$46)*E88,SUM(H89:H100)))</f>
        <v>0</v>
      </c>
      <c r="J88" s="46"/>
      <c r="K88" s="226"/>
      <c r="L88" s="45"/>
      <c r="M88" s="48"/>
    </row>
    <row r="89" spans="1:20" x14ac:dyDescent="0.25">
      <c r="A89" s="41" t="str">
        <f>IF('PK AN-Brutto qA'!A46="","",'PK AN-Brutto qA'!A46)</f>
        <v/>
      </c>
      <c r="B89" s="400"/>
      <c r="C89" s="225" t="str">
        <f>IF('PK AN-Brutto qA'!D46="","",'PK AN-Brutto qA'!D46)</f>
        <v/>
      </c>
      <c r="D89" s="225" t="str">
        <f>IF('PK AN-Brutto qA'!E46="","",'PK AN-Brutto qA'!E46)</f>
        <v/>
      </c>
      <c r="E89" s="52"/>
      <c r="F89" s="40" t="str">
        <f>'PK AG_Brutto'!J80</f>
        <v/>
      </c>
      <c r="G89" s="53"/>
      <c r="H89" s="40" t="str">
        <f t="shared" ref="H89:H100" si="13">IF(AND(F89="",G89=0),"",IF(G89&gt;0,E89*G89,E89*F89))</f>
        <v/>
      </c>
      <c r="I89" s="30"/>
      <c r="J89" s="46"/>
      <c r="L89" s="207" t="str">
        <f t="shared" ref="L89:L99" si="14">IF(E89&gt;0,IF(H89="","Bitte Personalkosten in den folgenden Tabellenblättern oder alternativ in Spalte F eintragen",""),IF(H89="","","Stellenanteil -VZK oder Multiplikator für die Personalkosten eintragen"))</f>
        <v/>
      </c>
      <c r="M89" s="286"/>
      <c r="S89" s="229"/>
      <c r="T89" s="341"/>
    </row>
    <row r="90" spans="1:20" x14ac:dyDescent="0.25">
      <c r="A90" s="41" t="str">
        <f>IF('PK AN-Brutto qA'!A47="","",'PK AN-Brutto qA'!A47)</f>
        <v/>
      </c>
      <c r="B90" s="400"/>
      <c r="C90" s="225" t="str">
        <f>IF('PK AN-Brutto qA'!D47="","",'PK AN-Brutto qA'!D47)</f>
        <v/>
      </c>
      <c r="D90" s="225" t="str">
        <f>IF('PK AN-Brutto qA'!E47="","",'PK AN-Brutto qA'!E47)</f>
        <v/>
      </c>
      <c r="E90" s="52"/>
      <c r="F90" s="40" t="str">
        <f>'PK AG_Brutto'!J81</f>
        <v/>
      </c>
      <c r="G90" s="53"/>
      <c r="H90" s="40" t="str">
        <f t="shared" si="13"/>
        <v/>
      </c>
      <c r="I90" s="30"/>
      <c r="J90" s="46"/>
      <c r="L90" s="207" t="str">
        <f t="shared" si="14"/>
        <v/>
      </c>
      <c r="M90" s="286"/>
      <c r="S90" s="229"/>
      <c r="T90" s="341"/>
    </row>
    <row r="91" spans="1:20" x14ac:dyDescent="0.25">
      <c r="A91" s="41" t="str">
        <f>IF('PK AN-Brutto qA'!A48="","",'PK AN-Brutto qA'!A48)</f>
        <v/>
      </c>
      <c r="B91" s="400"/>
      <c r="C91" s="225" t="str">
        <f>IF('PK AN-Brutto qA'!D48="","",'PK AN-Brutto qA'!D48)</f>
        <v/>
      </c>
      <c r="D91" s="225" t="str">
        <f>IF('PK AN-Brutto qA'!E48="","",'PK AN-Brutto qA'!E48)</f>
        <v/>
      </c>
      <c r="E91" s="52"/>
      <c r="F91" s="40" t="str">
        <f>'PK AG_Brutto'!J82</f>
        <v/>
      </c>
      <c r="G91" s="53"/>
      <c r="H91" s="40" t="str">
        <f t="shared" si="13"/>
        <v/>
      </c>
      <c r="I91" s="30"/>
      <c r="J91" s="46"/>
      <c r="K91" s="30"/>
      <c r="L91" s="207" t="str">
        <f t="shared" si="14"/>
        <v/>
      </c>
      <c r="M91" s="287"/>
      <c r="S91" s="229"/>
      <c r="T91" s="341"/>
    </row>
    <row r="92" spans="1:20" x14ac:dyDescent="0.25">
      <c r="A92" s="41" t="str">
        <f>IF('PK AN-Brutto qA'!A49="","",'PK AN-Brutto qA'!A49)</f>
        <v/>
      </c>
      <c r="B92" s="400"/>
      <c r="C92" s="225" t="str">
        <f>IF('PK AN-Brutto qA'!D49="","",'PK AN-Brutto qA'!D49)</f>
        <v/>
      </c>
      <c r="D92" s="225" t="str">
        <f>IF('PK AN-Brutto qA'!E49="","",'PK AN-Brutto qA'!E49)</f>
        <v/>
      </c>
      <c r="E92" s="52"/>
      <c r="F92" s="40" t="str">
        <f>'PK AG_Brutto'!J83</f>
        <v/>
      </c>
      <c r="G92" s="53"/>
      <c r="H92" s="40" t="str">
        <f t="shared" si="13"/>
        <v/>
      </c>
      <c r="I92" s="30"/>
      <c r="J92" s="46"/>
      <c r="K92" s="30"/>
      <c r="L92" s="207" t="str">
        <f t="shared" si="14"/>
        <v/>
      </c>
      <c r="M92" s="287"/>
      <c r="S92" s="229"/>
      <c r="T92" s="341"/>
    </row>
    <row r="93" spans="1:20" x14ac:dyDescent="0.25">
      <c r="A93" s="41" t="str">
        <f>IF('PK AN-Brutto qA'!A50="","",'PK AN-Brutto qA'!A50)</f>
        <v/>
      </c>
      <c r="B93" s="400"/>
      <c r="C93" s="225" t="str">
        <f>IF('PK AN-Brutto qA'!D50="","",'PK AN-Brutto qA'!D50)</f>
        <v/>
      </c>
      <c r="D93" s="225" t="str">
        <f>IF('PK AN-Brutto qA'!E50="","",'PK AN-Brutto qA'!E50)</f>
        <v/>
      </c>
      <c r="E93" s="52"/>
      <c r="F93" s="40" t="str">
        <f>'PK AG_Brutto'!J84</f>
        <v/>
      </c>
      <c r="G93" s="53"/>
      <c r="H93" s="40" t="str">
        <f t="shared" si="13"/>
        <v/>
      </c>
      <c r="I93" s="30"/>
      <c r="J93" s="46"/>
      <c r="K93" s="30"/>
      <c r="L93" s="207" t="str">
        <f t="shared" si="14"/>
        <v/>
      </c>
      <c r="M93" s="50"/>
      <c r="S93" s="229"/>
      <c r="T93" s="341"/>
    </row>
    <row r="94" spans="1:20" x14ac:dyDescent="0.25">
      <c r="A94" s="41" t="str">
        <f>IF('PK AN-Brutto qA'!A51="","",'PK AN-Brutto qA'!A51)</f>
        <v/>
      </c>
      <c r="B94" s="400"/>
      <c r="C94" s="225" t="str">
        <f>IF('PK AN-Brutto qA'!D51="","",'PK AN-Brutto qA'!D51)</f>
        <v/>
      </c>
      <c r="D94" s="225" t="str">
        <f>IF('PK AN-Brutto qA'!E51="","",'PK AN-Brutto qA'!E51)</f>
        <v/>
      </c>
      <c r="E94" s="52"/>
      <c r="F94" s="40" t="str">
        <f>'PK AG_Brutto'!J85</f>
        <v/>
      </c>
      <c r="G94" s="53"/>
      <c r="H94" s="40" t="str">
        <f t="shared" si="13"/>
        <v/>
      </c>
      <c r="I94" s="30"/>
      <c r="J94" s="46"/>
      <c r="K94" s="30"/>
      <c r="L94" s="207" t="str">
        <f t="shared" si="14"/>
        <v/>
      </c>
      <c r="M94" s="50"/>
      <c r="S94" s="229"/>
      <c r="T94" s="341"/>
    </row>
    <row r="95" spans="1:20" x14ac:dyDescent="0.25">
      <c r="A95" s="41" t="str">
        <f>IF('PK AN-Brutto qA'!A52="","",'PK AN-Brutto qA'!A52)</f>
        <v/>
      </c>
      <c r="B95" s="400"/>
      <c r="C95" s="225" t="str">
        <f>IF('PK AN-Brutto qA'!D52="","",'PK AN-Brutto qA'!D52)</f>
        <v/>
      </c>
      <c r="D95" s="225" t="str">
        <f>IF('PK AN-Brutto qA'!E52="","",'PK AN-Brutto qA'!E52)</f>
        <v/>
      </c>
      <c r="E95" s="52"/>
      <c r="F95" s="40" t="str">
        <f>'PK AG_Brutto'!J86</f>
        <v/>
      </c>
      <c r="G95" s="53"/>
      <c r="H95" s="40" t="str">
        <f t="shared" si="13"/>
        <v/>
      </c>
      <c r="I95" s="30"/>
      <c r="J95" s="46"/>
      <c r="K95" s="30"/>
      <c r="L95" s="207" t="str">
        <f t="shared" si="14"/>
        <v/>
      </c>
      <c r="M95" s="50"/>
      <c r="S95" s="229"/>
      <c r="T95" s="341"/>
    </row>
    <row r="96" spans="1:20" x14ac:dyDescent="0.25">
      <c r="A96" s="41" t="str">
        <f>IF('PK AN-Brutto qA'!A53="","",'PK AN-Brutto qA'!A53)</f>
        <v/>
      </c>
      <c r="B96" s="400"/>
      <c r="C96" s="225" t="str">
        <f>IF('PK AN-Brutto qA'!D53="","",'PK AN-Brutto qA'!D53)</f>
        <v/>
      </c>
      <c r="D96" s="225" t="str">
        <f>IF('PK AN-Brutto qA'!E53="","",'PK AN-Brutto qA'!E53)</f>
        <v/>
      </c>
      <c r="E96" s="52"/>
      <c r="F96" s="40" t="str">
        <f>'PK AG_Brutto'!J87</f>
        <v/>
      </c>
      <c r="G96" s="53"/>
      <c r="H96" s="40" t="str">
        <f t="shared" si="13"/>
        <v/>
      </c>
      <c r="I96" s="30"/>
      <c r="J96" s="46"/>
      <c r="K96" s="30"/>
      <c r="L96" s="207" t="str">
        <f t="shared" si="14"/>
        <v/>
      </c>
      <c r="M96" s="30"/>
      <c r="S96" s="229"/>
      <c r="T96" s="341"/>
    </row>
    <row r="97" spans="1:20" x14ac:dyDescent="0.25">
      <c r="A97" s="41" t="str">
        <f>IF('PK AN-Brutto qA'!A54="","",'PK AN-Brutto qA'!A54)</f>
        <v/>
      </c>
      <c r="B97" s="400"/>
      <c r="C97" s="225" t="str">
        <f>IF('PK AN-Brutto qA'!D54="","",'PK AN-Brutto qA'!D54)</f>
        <v/>
      </c>
      <c r="D97" s="225" t="str">
        <f>IF('PK AN-Brutto qA'!E54="","",'PK AN-Brutto qA'!E54)</f>
        <v/>
      </c>
      <c r="E97" s="52"/>
      <c r="F97" s="40" t="str">
        <f>'PK AG_Brutto'!J88</f>
        <v/>
      </c>
      <c r="G97" s="53"/>
      <c r="H97" s="40" t="str">
        <f t="shared" si="13"/>
        <v/>
      </c>
      <c r="I97" s="30"/>
      <c r="J97" s="46"/>
      <c r="K97" s="30"/>
      <c r="L97" s="207" t="str">
        <f t="shared" si="14"/>
        <v/>
      </c>
      <c r="M97" s="30"/>
      <c r="S97" s="229"/>
      <c r="T97" s="341"/>
    </row>
    <row r="98" spans="1:20" x14ac:dyDescent="0.25">
      <c r="A98" s="41" t="str">
        <f>IF('PK AN-Brutto qA'!A55="","",'PK AN-Brutto qA'!A55)</f>
        <v/>
      </c>
      <c r="B98" s="400"/>
      <c r="C98" s="225" t="str">
        <f>IF('PK AN-Brutto qA'!D55="","",'PK AN-Brutto qA'!D55)</f>
        <v/>
      </c>
      <c r="D98" s="225" t="str">
        <f>IF('PK AN-Brutto qA'!E55="","",'PK AN-Brutto qA'!E55)</f>
        <v/>
      </c>
      <c r="E98" s="52"/>
      <c r="F98" s="40" t="str">
        <f>'PK AG_Brutto'!J89</f>
        <v/>
      </c>
      <c r="G98" s="53"/>
      <c r="H98" s="40" t="str">
        <f t="shared" si="13"/>
        <v/>
      </c>
      <c r="I98" s="30"/>
      <c r="J98" s="46"/>
      <c r="K98" s="30"/>
      <c r="L98" s="207" t="str">
        <f t="shared" si="14"/>
        <v/>
      </c>
      <c r="M98" s="30"/>
      <c r="S98" s="229"/>
      <c r="T98" s="341"/>
    </row>
    <row r="99" spans="1:20" x14ac:dyDescent="0.25">
      <c r="A99" s="41" t="s">
        <v>46</v>
      </c>
      <c r="B99" s="400"/>
      <c r="C99" s="225" t="str">
        <f>IF('PK AN-Brutto qA'!D56="","",'PK AN-Brutto qA'!D56)</f>
        <v/>
      </c>
      <c r="D99" s="225" t="str">
        <f>IF('PK AN-Brutto qA'!E56="","",'PK AN-Brutto qA'!E56)</f>
        <v/>
      </c>
      <c r="E99" s="52"/>
      <c r="F99" s="40" t="str">
        <f>'PK AG_Brutto'!J90</f>
        <v/>
      </c>
      <c r="G99" s="53"/>
      <c r="H99" s="40" t="str">
        <f t="shared" si="13"/>
        <v/>
      </c>
      <c r="I99" s="30"/>
      <c r="J99" s="49"/>
      <c r="K99" s="30"/>
      <c r="L99" s="207" t="str">
        <f t="shared" si="14"/>
        <v/>
      </c>
      <c r="M99" s="30"/>
      <c r="S99" s="229"/>
      <c r="T99" s="341"/>
    </row>
    <row r="100" spans="1:20" x14ac:dyDescent="0.25">
      <c r="A100" s="41" t="s">
        <v>48</v>
      </c>
      <c r="B100" s="400"/>
      <c r="C100" s="225"/>
      <c r="D100" s="225" t="str">
        <f>IF('PK AN-Brutto qA'!E57="","",'PK AN-Brutto qA'!E57)</f>
        <v/>
      </c>
      <c r="E100" s="52"/>
      <c r="F100" s="40"/>
      <c r="G100" s="53"/>
      <c r="H100" s="40" t="str">
        <f t="shared" si="13"/>
        <v/>
      </c>
      <c r="I100" s="30"/>
      <c r="J100" s="49"/>
      <c r="K100" s="30"/>
      <c r="L100" s="207"/>
      <c r="M100" s="30"/>
      <c r="S100" s="229"/>
      <c r="T100" s="341"/>
    </row>
    <row r="101" spans="1:20" x14ac:dyDescent="0.25">
      <c r="A101" s="30"/>
      <c r="B101" s="30"/>
      <c r="C101" s="30"/>
      <c r="D101" s="30"/>
      <c r="E101" s="33"/>
      <c r="F101" s="35"/>
      <c r="G101" s="35"/>
      <c r="H101" s="35"/>
      <c r="I101" s="215"/>
      <c r="J101" s="46"/>
      <c r="K101" s="30"/>
      <c r="L101" s="30"/>
      <c r="M101" s="30"/>
    </row>
    <row r="102" spans="1:20" ht="13.8" thickBot="1" x14ac:dyDescent="0.3">
      <c r="E102" s="33"/>
      <c r="F102" s="34"/>
      <c r="G102" s="34"/>
      <c r="H102" s="34"/>
      <c r="I102" s="315">
        <f>SUM(I7:I101)</f>
        <v>0</v>
      </c>
      <c r="J102" s="258"/>
      <c r="M102" s="2"/>
    </row>
    <row r="103" spans="1:20" ht="13.8" thickTop="1" x14ac:dyDescent="0.25">
      <c r="E103" s="33"/>
      <c r="F103" s="34"/>
      <c r="G103" s="34"/>
      <c r="H103" s="34"/>
      <c r="J103" s="259"/>
    </row>
  </sheetData>
  <sheetProtection algorithmName="SHA-512" hashValue="d5qxv4CB2wtG6SjgP/4gjaLatmx7JV+cx1nacfQ/SCfiy1jvuDyrEufQ4yhzGfEHmj13cGuCHBnsTz6fDh80Rw==" saltValue="/A7OCSzHdyR3FNdvxk/tUQ==" spinCount="100000" sheet="1" objects="1" scenarios="1" formatCells="0"/>
  <mergeCells count="25">
    <mergeCell ref="E79:G79"/>
    <mergeCell ref="A88:D88"/>
    <mergeCell ref="A77:D77"/>
    <mergeCell ref="A78:D78"/>
    <mergeCell ref="A79:D79"/>
    <mergeCell ref="E77:G77"/>
    <mergeCell ref="E78:G78"/>
    <mergeCell ref="A1:L1"/>
    <mergeCell ref="A5:A6"/>
    <mergeCell ref="E5:E6"/>
    <mergeCell ref="F5:F6"/>
    <mergeCell ref="G5:G6"/>
    <mergeCell ref="H5:H6"/>
    <mergeCell ref="I5:I6"/>
    <mergeCell ref="K5:K6"/>
    <mergeCell ref="J5:J6"/>
    <mergeCell ref="A3:K3"/>
    <mergeCell ref="B5:B6"/>
    <mergeCell ref="C5:C6"/>
    <mergeCell ref="D5:D6"/>
    <mergeCell ref="S5:S6"/>
    <mergeCell ref="T5:T6"/>
    <mergeCell ref="P4:Q4"/>
    <mergeCell ref="N4:O4"/>
    <mergeCell ref="L4:M4"/>
  </mergeCells>
  <conditionalFormatting sqref="C44">
    <cfRule type="cellIs" dxfId="0" priority="1" operator="greaterThan">
      <formula>0.15</formula>
    </cfRule>
  </conditionalFormatting>
  <pageMargins left="0.7" right="0.7" top="0.78740157499999996" bottom="0.78740157499999996" header="0.3" footer="0.3"/>
  <pageSetup paperSize="9" scale="84" fitToWidth="2" fitToHeight="0" orientation="landscape" r:id="rId1"/>
  <headerFooter>
    <oddFooter>&amp;L&amp;"Arial,Standard"&amp;8Datum des Ausdrucks
&amp;D&amp;C&amp;"Arial,Standard"&amp;8Kalkulationsdatei Assistenzleistungen 
Rahmenvertrag 3 Version 1.0&amp;R&amp;"Arial,Standard"&amp;8PK Zusammenfassung
 Seite &amp;P von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A57"/>
  <sheetViews>
    <sheetView showGridLines="0" zoomScaleNormal="100" zoomScalePageLayoutView="107" workbookViewId="0">
      <pane ySplit="7" topLeftCell="A8" activePane="bottomLeft" state="frozen"/>
      <selection pane="bottomLeft" activeCell="U46" sqref="U46:U49"/>
    </sheetView>
  </sheetViews>
  <sheetFormatPr baseColWidth="10" defaultColWidth="11.44140625" defaultRowHeight="13.2" x14ac:dyDescent="0.25"/>
  <cols>
    <col min="1" max="1" width="21.33203125" style="1" customWidth="1"/>
    <col min="2" max="2" width="18.33203125" style="1" customWidth="1"/>
    <col min="3" max="5" width="11.44140625" style="1"/>
    <col min="6" max="6" width="1.109375" style="1" customWidth="1"/>
    <col min="7" max="7" width="11.88671875" style="1" customWidth="1"/>
    <col min="8" max="16" width="11.44140625" style="1"/>
    <col min="17" max="17" width="13.88671875" style="1" customWidth="1"/>
    <col min="18" max="18" width="1.33203125" style="1" customWidth="1"/>
    <col min="19" max="22" width="11.44140625" style="1"/>
    <col min="23" max="23" width="12.109375" style="1" customWidth="1"/>
    <col min="24" max="24" width="12.6640625" style="1" customWidth="1"/>
    <col min="25" max="25" width="3" style="1" customWidth="1"/>
    <col min="26" max="27" width="26.6640625" style="1" customWidth="1"/>
    <col min="28" max="16384" width="11.44140625" style="1"/>
  </cols>
  <sheetData>
    <row r="1" spans="1:27" x14ac:dyDescent="0.25">
      <c r="A1" s="3"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c r="B1" s="3"/>
    </row>
    <row r="3" spans="1:27" x14ac:dyDescent="0.25">
      <c r="A3" s="1" t="s">
        <v>131</v>
      </c>
      <c r="C3" s="197"/>
      <c r="D3" s="198"/>
      <c r="E3" s="199"/>
      <c r="F3" s="199"/>
      <c r="G3" s="199"/>
      <c r="H3" s="199"/>
      <c r="I3" s="200"/>
      <c r="J3" s="201"/>
      <c r="K3" s="200"/>
      <c r="L3" s="200"/>
      <c r="M3" s="200"/>
      <c r="N3" s="200"/>
      <c r="O3" s="200"/>
      <c r="P3" s="200"/>
      <c r="Q3" s="200"/>
      <c r="R3" s="200"/>
      <c r="T3" s="34"/>
      <c r="V3" s="34"/>
      <c r="X3" s="202"/>
    </row>
    <row r="4" spans="1:27" x14ac:dyDescent="0.25">
      <c r="A4" s="1" t="s">
        <v>130</v>
      </c>
      <c r="C4" s="197"/>
      <c r="D4" s="198"/>
      <c r="E4" s="199"/>
      <c r="F4" s="199"/>
      <c r="G4" s="199"/>
      <c r="H4" s="199"/>
      <c r="I4" s="200"/>
      <c r="J4" s="201"/>
      <c r="K4" s="200"/>
      <c r="L4" s="200"/>
      <c r="M4" s="200"/>
      <c r="N4" s="200"/>
      <c r="O4" s="200"/>
      <c r="P4" s="200"/>
      <c r="Q4" s="200"/>
      <c r="R4" s="200"/>
      <c r="T4" s="34"/>
      <c r="V4" s="34"/>
      <c r="X4" s="202"/>
    </row>
    <row r="5" spans="1:27" x14ac:dyDescent="0.25">
      <c r="C5" s="197"/>
      <c r="D5" s="198"/>
      <c r="E5" s="199"/>
      <c r="F5" s="199"/>
      <c r="G5" s="199"/>
      <c r="H5" s="199"/>
      <c r="I5" s="200"/>
      <c r="J5" s="200"/>
      <c r="K5" s="200"/>
      <c r="L5" s="200"/>
      <c r="M5" s="200"/>
      <c r="N5" s="200"/>
      <c r="O5" s="200"/>
      <c r="P5" s="200"/>
      <c r="Q5" s="200"/>
      <c r="R5" s="200"/>
      <c r="T5" s="34"/>
      <c r="V5" s="34"/>
      <c r="X5" s="202"/>
    </row>
    <row r="6" spans="1:27" ht="52.8" x14ac:dyDescent="0.25">
      <c r="A6" s="492" t="s">
        <v>231</v>
      </c>
      <c r="B6" s="492" t="s">
        <v>230</v>
      </c>
      <c r="C6" s="509" t="s">
        <v>254</v>
      </c>
      <c r="D6" s="509" t="s">
        <v>232</v>
      </c>
      <c r="E6" s="511" t="s">
        <v>91</v>
      </c>
      <c r="F6" s="145"/>
      <c r="G6" s="503" t="s">
        <v>255</v>
      </c>
      <c r="H6" s="145" t="s">
        <v>256</v>
      </c>
      <c r="I6" s="503" t="s">
        <v>257</v>
      </c>
      <c r="J6" s="503" t="s">
        <v>258</v>
      </c>
      <c r="K6" s="503" t="s">
        <v>259</v>
      </c>
      <c r="L6" s="503" t="s">
        <v>260</v>
      </c>
      <c r="M6" s="503" t="s">
        <v>261</v>
      </c>
      <c r="N6" s="503" t="s">
        <v>262</v>
      </c>
      <c r="O6" s="146" t="s">
        <v>263</v>
      </c>
      <c r="P6" s="507" t="s">
        <v>264</v>
      </c>
      <c r="Q6" s="503" t="s">
        <v>265</v>
      </c>
      <c r="R6" s="147"/>
      <c r="S6" s="477" t="s">
        <v>266</v>
      </c>
      <c r="T6" s="477"/>
      <c r="U6" s="477" t="s">
        <v>90</v>
      </c>
      <c r="V6" s="477"/>
      <c r="W6" s="490" t="s">
        <v>267</v>
      </c>
      <c r="X6" s="505" t="s">
        <v>268</v>
      </c>
      <c r="Z6" s="228" t="s">
        <v>241</v>
      </c>
      <c r="AA6" s="228" t="s">
        <v>242</v>
      </c>
    </row>
    <row r="7" spans="1:27" x14ac:dyDescent="0.25">
      <c r="A7" s="493"/>
      <c r="B7" s="493"/>
      <c r="C7" s="510"/>
      <c r="D7" s="510"/>
      <c r="E7" s="512"/>
      <c r="F7" s="148"/>
      <c r="G7" s="504"/>
      <c r="H7" s="191"/>
      <c r="I7" s="504"/>
      <c r="J7" s="504"/>
      <c r="K7" s="504"/>
      <c r="L7" s="504"/>
      <c r="M7" s="504"/>
      <c r="N7" s="504"/>
      <c r="O7" s="149">
        <v>6.65</v>
      </c>
      <c r="P7" s="508"/>
      <c r="Q7" s="504"/>
      <c r="R7" s="150"/>
      <c r="S7" s="151" t="s">
        <v>92</v>
      </c>
      <c r="T7" s="152" t="s">
        <v>69</v>
      </c>
      <c r="U7" s="151" t="s">
        <v>92</v>
      </c>
      <c r="V7" s="152" t="s">
        <v>69</v>
      </c>
      <c r="W7" s="490"/>
      <c r="X7" s="506"/>
    </row>
    <row r="8" spans="1:27" x14ac:dyDescent="0.25">
      <c r="A8" s="153"/>
      <c r="B8" s="153"/>
      <c r="C8" s="154"/>
      <c r="D8" s="154"/>
      <c r="E8" s="155"/>
      <c r="F8" s="155"/>
      <c r="G8" s="156"/>
      <c r="H8" s="157"/>
      <c r="I8" s="156"/>
      <c r="J8" s="156"/>
      <c r="K8" s="156"/>
      <c r="L8" s="156"/>
      <c r="M8" s="156"/>
      <c r="N8" s="156"/>
      <c r="O8" s="156"/>
      <c r="P8" s="156"/>
      <c r="Q8" s="158"/>
      <c r="R8" s="158"/>
      <c r="S8" s="159"/>
      <c r="T8" s="160"/>
      <c r="U8" s="161"/>
      <c r="V8" s="160"/>
      <c r="W8" s="162"/>
      <c r="X8" s="163"/>
    </row>
    <row r="9" spans="1:27" x14ac:dyDescent="0.25">
      <c r="A9" s="164" t="s">
        <v>52</v>
      </c>
      <c r="B9" s="164"/>
      <c r="C9" s="165"/>
      <c r="D9" s="166"/>
      <c r="E9" s="167"/>
      <c r="F9" s="167"/>
      <c r="G9" s="167"/>
      <c r="H9" s="167"/>
      <c r="I9" s="168"/>
      <c r="J9" s="168"/>
      <c r="K9" s="168"/>
      <c r="L9" s="168"/>
      <c r="M9" s="168"/>
      <c r="N9" s="168"/>
      <c r="O9" s="168"/>
      <c r="P9" s="168"/>
      <c r="Q9" s="169"/>
      <c r="R9" s="170"/>
      <c r="S9" s="171"/>
      <c r="T9" s="172"/>
      <c r="U9" s="171"/>
      <c r="V9" s="172"/>
      <c r="W9" s="171"/>
      <c r="X9" s="173"/>
    </row>
    <row r="10" spans="1:27" x14ac:dyDescent="0.25">
      <c r="A10" s="51"/>
      <c r="B10" s="51"/>
      <c r="C10" s="192"/>
      <c r="D10" s="193"/>
      <c r="E10" s="194"/>
      <c r="F10" s="174"/>
      <c r="G10" s="195"/>
      <c r="H10" s="117" t="str">
        <f t="shared" ref="H10:H13" si="0">IF($H$7=0,"",IF(G10&gt;0,ROUND(G10*$H$7,2),""))</f>
        <v/>
      </c>
      <c r="I10" s="117" t="str">
        <f t="shared" ref="I10:I43" si="1">IF(G10&gt;0,G10+IF(H10="",0,H10),"")</f>
        <v/>
      </c>
      <c r="J10" s="195"/>
      <c r="K10" s="195"/>
      <c r="L10" s="195"/>
      <c r="M10" s="195"/>
      <c r="N10" s="175" t="str">
        <f>IF(I10="","",'PK Zeitzuschläge qA'!$N$38)</f>
        <v/>
      </c>
      <c r="O10" s="195"/>
      <c r="P10" s="176" t="str">
        <f t="shared" ref="P10:P43" si="2">IF(SUM(I10:O10)=0,"",SUM(I10:O10))</f>
        <v/>
      </c>
      <c r="Q10" s="176" t="str">
        <f t="shared" ref="Q10:Q43" si="3">IF(P10="","",ROUND(P10*12,2))</f>
        <v/>
      </c>
      <c r="R10" s="117"/>
      <c r="S10" s="196"/>
      <c r="T10" s="40" t="str">
        <f t="shared" ref="T10:T41" si="4">IF(S10="","",ROUND(S10*(P10-O10),2))</f>
        <v/>
      </c>
      <c r="U10" s="196"/>
      <c r="V10" s="40" t="str">
        <f t="shared" ref="V10:V41" si="5">IF(U10&gt;0,ROUND((Q10-O10*12)*U10,2),"")</f>
        <v/>
      </c>
      <c r="W10" s="177" t="str">
        <f t="shared" ref="W10:W43" si="6">IF(SUM(V10,T10,Q10)&gt;0,SUM(V10,T10,Q10),"")</f>
        <v/>
      </c>
      <c r="X10" s="178" t="str">
        <f t="shared" ref="X10:X43" si="7">IF(W10="","",ROUND(W10/12,2))</f>
        <v/>
      </c>
      <c r="Z10" s="229"/>
      <c r="AA10" s="341"/>
    </row>
    <row r="11" spans="1:27" x14ac:dyDescent="0.25">
      <c r="A11" s="51"/>
      <c r="B11" s="51"/>
      <c r="C11" s="192"/>
      <c r="D11" s="193"/>
      <c r="E11" s="194"/>
      <c r="F11" s="174"/>
      <c r="G11" s="195"/>
      <c r="H11" s="117" t="str">
        <f t="shared" si="0"/>
        <v/>
      </c>
      <c r="I11" s="117" t="str">
        <f t="shared" si="1"/>
        <v/>
      </c>
      <c r="J11" s="195"/>
      <c r="K11" s="195"/>
      <c r="L11" s="195"/>
      <c r="M11" s="195"/>
      <c r="N11" s="175" t="str">
        <f>IF(I11="","",'PK Zeitzuschläge qA'!$N$38)</f>
        <v/>
      </c>
      <c r="O11" s="195"/>
      <c r="P11" s="176" t="str">
        <f t="shared" si="2"/>
        <v/>
      </c>
      <c r="Q11" s="176" t="str">
        <f t="shared" si="3"/>
        <v/>
      </c>
      <c r="R11" s="117"/>
      <c r="S11" s="196"/>
      <c r="T11" s="40" t="str">
        <f t="shared" si="4"/>
        <v/>
      </c>
      <c r="U11" s="196"/>
      <c r="V11" s="40" t="str">
        <f t="shared" si="5"/>
        <v/>
      </c>
      <c r="W11" s="177" t="str">
        <f t="shared" si="6"/>
        <v/>
      </c>
      <c r="X11" s="178" t="str">
        <f t="shared" si="7"/>
        <v/>
      </c>
      <c r="Z11" s="229"/>
      <c r="AA11" s="341"/>
    </row>
    <row r="12" spans="1:27" x14ac:dyDescent="0.25">
      <c r="A12" s="51"/>
      <c r="B12" s="51"/>
      <c r="C12" s="192"/>
      <c r="D12" s="193"/>
      <c r="E12" s="194"/>
      <c r="F12" s="174"/>
      <c r="G12" s="195"/>
      <c r="H12" s="117" t="str">
        <f t="shared" si="0"/>
        <v/>
      </c>
      <c r="I12" s="117" t="str">
        <f t="shared" si="1"/>
        <v/>
      </c>
      <c r="J12" s="195"/>
      <c r="K12" s="195"/>
      <c r="L12" s="195"/>
      <c r="M12" s="195"/>
      <c r="N12" s="175" t="str">
        <f>IF(I12="","",'PK Zeitzuschläge qA'!$N$38)</f>
        <v/>
      </c>
      <c r="O12" s="195"/>
      <c r="P12" s="176" t="str">
        <f t="shared" si="2"/>
        <v/>
      </c>
      <c r="Q12" s="176" t="str">
        <f t="shared" si="3"/>
        <v/>
      </c>
      <c r="R12" s="117"/>
      <c r="S12" s="196"/>
      <c r="T12" s="40" t="str">
        <f t="shared" si="4"/>
        <v/>
      </c>
      <c r="U12" s="196"/>
      <c r="V12" s="40" t="str">
        <f t="shared" si="5"/>
        <v/>
      </c>
      <c r="W12" s="177" t="str">
        <f t="shared" si="6"/>
        <v/>
      </c>
      <c r="X12" s="178" t="str">
        <f t="shared" si="7"/>
        <v/>
      </c>
      <c r="Z12" s="229"/>
      <c r="AA12" s="341"/>
    </row>
    <row r="13" spans="1:27" x14ac:dyDescent="0.25">
      <c r="A13" s="51"/>
      <c r="B13" s="51"/>
      <c r="C13" s="192"/>
      <c r="D13" s="193"/>
      <c r="E13" s="194"/>
      <c r="F13" s="174"/>
      <c r="G13" s="195"/>
      <c r="H13" s="117" t="str">
        <f t="shared" si="0"/>
        <v/>
      </c>
      <c r="I13" s="117" t="str">
        <f t="shared" si="1"/>
        <v/>
      </c>
      <c r="J13" s="195"/>
      <c r="K13" s="195"/>
      <c r="L13" s="195"/>
      <c r="M13" s="195"/>
      <c r="N13" s="175" t="str">
        <f>IF(I13="","",'PK Zeitzuschläge qA'!$N$38)</f>
        <v/>
      </c>
      <c r="O13" s="195"/>
      <c r="P13" s="176" t="str">
        <f t="shared" si="2"/>
        <v/>
      </c>
      <c r="Q13" s="176" t="str">
        <f t="shared" si="3"/>
        <v/>
      </c>
      <c r="R13" s="117"/>
      <c r="S13" s="196"/>
      <c r="T13" s="40" t="str">
        <f t="shared" si="4"/>
        <v/>
      </c>
      <c r="U13" s="196"/>
      <c r="V13" s="40" t="str">
        <f t="shared" si="5"/>
        <v/>
      </c>
      <c r="W13" s="177" t="str">
        <f t="shared" si="6"/>
        <v/>
      </c>
      <c r="X13" s="178" t="str">
        <f t="shared" si="7"/>
        <v/>
      </c>
      <c r="Z13" s="229"/>
      <c r="AA13" s="341"/>
    </row>
    <row r="14" spans="1:27" x14ac:dyDescent="0.25">
      <c r="A14" s="51"/>
      <c r="B14" s="51"/>
      <c r="C14" s="192"/>
      <c r="D14" s="193"/>
      <c r="E14" s="194"/>
      <c r="F14" s="174"/>
      <c r="G14" s="195"/>
      <c r="H14" s="117" t="str">
        <f t="shared" ref="H14:H39" si="8">IF($H$7=0,"",IF(G14&gt;0,ROUND(G14*$H$7,2),""))</f>
        <v/>
      </c>
      <c r="I14" s="117" t="str">
        <f t="shared" ref="I14:I39" si="9">IF(G14&gt;0,G14+IF(H14="",0,H14),"")</f>
        <v/>
      </c>
      <c r="J14" s="195"/>
      <c r="K14" s="195"/>
      <c r="L14" s="195"/>
      <c r="M14" s="195"/>
      <c r="N14" s="175" t="str">
        <f>IF(I14="","",'PK Zeitzuschläge qA'!$N$38)</f>
        <v/>
      </c>
      <c r="O14" s="195"/>
      <c r="P14" s="176" t="str">
        <f t="shared" ref="P14:P39" si="10">IF(SUM(I14:O14)=0,"",SUM(I14:O14))</f>
        <v/>
      </c>
      <c r="Q14" s="176" t="str">
        <f t="shared" ref="Q14:Q39" si="11">IF(P14="","",ROUND(P14*12,2))</f>
        <v/>
      </c>
      <c r="R14" s="117"/>
      <c r="S14" s="196"/>
      <c r="T14" s="40" t="str">
        <f t="shared" si="4"/>
        <v/>
      </c>
      <c r="U14" s="196"/>
      <c r="V14" s="40" t="str">
        <f t="shared" si="5"/>
        <v/>
      </c>
      <c r="W14" s="177" t="str">
        <f t="shared" ref="W14:W39" si="12">IF(SUM(V14,T14,Q14)&gt;0,SUM(V14,T14,Q14),"")</f>
        <v/>
      </c>
      <c r="X14" s="178" t="str">
        <f t="shared" ref="X14:X39" si="13">IF(W14="","",ROUND(W14/12,2))</f>
        <v/>
      </c>
      <c r="Z14" s="229"/>
      <c r="AA14" s="341"/>
    </row>
    <row r="15" spans="1:27" x14ac:dyDescent="0.25">
      <c r="A15" s="51"/>
      <c r="B15" s="51"/>
      <c r="C15" s="192"/>
      <c r="D15" s="193"/>
      <c r="E15" s="194"/>
      <c r="F15" s="174"/>
      <c r="G15" s="195"/>
      <c r="H15" s="117" t="str">
        <f t="shared" si="8"/>
        <v/>
      </c>
      <c r="I15" s="117" t="str">
        <f t="shared" si="9"/>
        <v/>
      </c>
      <c r="J15" s="195"/>
      <c r="K15" s="195"/>
      <c r="L15" s="195"/>
      <c r="M15" s="195"/>
      <c r="N15" s="175" t="str">
        <f>IF(I15="","",'PK Zeitzuschläge qA'!$N$38)</f>
        <v/>
      </c>
      <c r="O15" s="195"/>
      <c r="P15" s="176" t="str">
        <f t="shared" si="10"/>
        <v/>
      </c>
      <c r="Q15" s="176" t="str">
        <f t="shared" si="11"/>
        <v/>
      </c>
      <c r="R15" s="117"/>
      <c r="S15" s="196"/>
      <c r="T15" s="40" t="str">
        <f t="shared" si="4"/>
        <v/>
      </c>
      <c r="U15" s="196"/>
      <c r="V15" s="40" t="str">
        <f t="shared" si="5"/>
        <v/>
      </c>
      <c r="W15" s="177" t="str">
        <f t="shared" si="12"/>
        <v/>
      </c>
      <c r="X15" s="178" t="str">
        <f t="shared" si="13"/>
        <v/>
      </c>
      <c r="Z15" s="229"/>
      <c r="AA15" s="341"/>
    </row>
    <row r="16" spans="1:27" x14ac:dyDescent="0.25">
      <c r="A16" s="51"/>
      <c r="B16" s="51"/>
      <c r="C16" s="192"/>
      <c r="D16" s="193"/>
      <c r="E16" s="194"/>
      <c r="F16" s="174"/>
      <c r="G16" s="195"/>
      <c r="H16" s="117" t="str">
        <f t="shared" si="8"/>
        <v/>
      </c>
      <c r="I16" s="117" t="str">
        <f t="shared" si="9"/>
        <v/>
      </c>
      <c r="J16" s="195"/>
      <c r="K16" s="195"/>
      <c r="L16" s="195"/>
      <c r="M16" s="195"/>
      <c r="N16" s="175" t="str">
        <f>IF(I16="","",'PK Zeitzuschläge qA'!$N$38)</f>
        <v/>
      </c>
      <c r="O16" s="195"/>
      <c r="P16" s="176" t="str">
        <f t="shared" si="10"/>
        <v/>
      </c>
      <c r="Q16" s="176" t="str">
        <f t="shared" si="11"/>
        <v/>
      </c>
      <c r="R16" s="117"/>
      <c r="S16" s="196"/>
      <c r="T16" s="40" t="str">
        <f t="shared" si="4"/>
        <v/>
      </c>
      <c r="U16" s="196"/>
      <c r="V16" s="40" t="str">
        <f t="shared" si="5"/>
        <v/>
      </c>
      <c r="W16" s="177" t="str">
        <f t="shared" si="12"/>
        <v/>
      </c>
      <c r="X16" s="178" t="str">
        <f t="shared" si="13"/>
        <v/>
      </c>
      <c r="Z16" s="229"/>
      <c r="AA16" s="341"/>
    </row>
    <row r="17" spans="1:27" x14ac:dyDescent="0.25">
      <c r="A17" s="51"/>
      <c r="B17" s="51"/>
      <c r="C17" s="192"/>
      <c r="D17" s="193"/>
      <c r="E17" s="194"/>
      <c r="F17" s="174"/>
      <c r="G17" s="195"/>
      <c r="H17" s="117" t="str">
        <f t="shared" si="8"/>
        <v/>
      </c>
      <c r="I17" s="117" t="str">
        <f t="shared" si="9"/>
        <v/>
      </c>
      <c r="J17" s="195"/>
      <c r="K17" s="195"/>
      <c r="L17" s="195"/>
      <c r="M17" s="195"/>
      <c r="N17" s="175" t="str">
        <f>IF(I17="","",'PK Zeitzuschläge qA'!$N$38)</f>
        <v/>
      </c>
      <c r="O17" s="195"/>
      <c r="P17" s="176" t="str">
        <f t="shared" si="10"/>
        <v/>
      </c>
      <c r="Q17" s="176" t="str">
        <f t="shared" si="11"/>
        <v/>
      </c>
      <c r="R17" s="117"/>
      <c r="S17" s="196"/>
      <c r="T17" s="40" t="str">
        <f t="shared" si="4"/>
        <v/>
      </c>
      <c r="U17" s="196"/>
      <c r="V17" s="40" t="str">
        <f t="shared" si="5"/>
        <v/>
      </c>
      <c r="W17" s="177" t="str">
        <f t="shared" si="12"/>
        <v/>
      </c>
      <c r="X17" s="178" t="str">
        <f t="shared" si="13"/>
        <v/>
      </c>
      <c r="Z17" s="229"/>
      <c r="AA17" s="341"/>
    </row>
    <row r="18" spans="1:27" x14ac:dyDescent="0.25">
      <c r="A18" s="51"/>
      <c r="B18" s="51"/>
      <c r="C18" s="192"/>
      <c r="D18" s="193"/>
      <c r="E18" s="194"/>
      <c r="F18" s="174"/>
      <c r="G18" s="195"/>
      <c r="H18" s="117" t="str">
        <f t="shared" si="8"/>
        <v/>
      </c>
      <c r="I18" s="117" t="str">
        <f t="shared" si="9"/>
        <v/>
      </c>
      <c r="J18" s="195"/>
      <c r="K18" s="195"/>
      <c r="L18" s="195"/>
      <c r="M18" s="195"/>
      <c r="N18" s="175" t="str">
        <f>IF(I18="","",'PK Zeitzuschläge qA'!$N$38)</f>
        <v/>
      </c>
      <c r="O18" s="195"/>
      <c r="P18" s="176" t="str">
        <f t="shared" si="10"/>
        <v/>
      </c>
      <c r="Q18" s="176" t="str">
        <f t="shared" si="11"/>
        <v/>
      </c>
      <c r="R18" s="117"/>
      <c r="S18" s="196"/>
      <c r="T18" s="40" t="str">
        <f t="shared" si="4"/>
        <v/>
      </c>
      <c r="U18" s="196"/>
      <c r="V18" s="40" t="str">
        <f t="shared" si="5"/>
        <v/>
      </c>
      <c r="W18" s="177" t="str">
        <f t="shared" si="12"/>
        <v/>
      </c>
      <c r="X18" s="178" t="str">
        <f t="shared" si="13"/>
        <v/>
      </c>
      <c r="Z18" s="229"/>
      <c r="AA18" s="341"/>
    </row>
    <row r="19" spans="1:27" x14ac:dyDescent="0.25">
      <c r="A19" s="51"/>
      <c r="B19" s="51"/>
      <c r="C19" s="192"/>
      <c r="D19" s="193"/>
      <c r="E19" s="194"/>
      <c r="F19" s="174"/>
      <c r="G19" s="195"/>
      <c r="H19" s="117" t="str">
        <f t="shared" si="8"/>
        <v/>
      </c>
      <c r="I19" s="117" t="str">
        <f t="shared" si="9"/>
        <v/>
      </c>
      <c r="J19" s="195"/>
      <c r="K19" s="195"/>
      <c r="L19" s="195"/>
      <c r="M19" s="195"/>
      <c r="N19" s="175" t="str">
        <f>IF(I19="","",'PK Zeitzuschläge qA'!$N$38)</f>
        <v/>
      </c>
      <c r="O19" s="195"/>
      <c r="P19" s="176" t="str">
        <f t="shared" si="10"/>
        <v/>
      </c>
      <c r="Q19" s="176" t="str">
        <f t="shared" si="11"/>
        <v/>
      </c>
      <c r="R19" s="117"/>
      <c r="S19" s="196"/>
      <c r="T19" s="40" t="str">
        <f t="shared" si="4"/>
        <v/>
      </c>
      <c r="U19" s="196"/>
      <c r="V19" s="40" t="str">
        <f t="shared" si="5"/>
        <v/>
      </c>
      <c r="W19" s="177" t="str">
        <f t="shared" si="12"/>
        <v/>
      </c>
      <c r="X19" s="178" t="str">
        <f t="shared" si="13"/>
        <v/>
      </c>
      <c r="Z19" s="229"/>
      <c r="AA19" s="341"/>
    </row>
    <row r="20" spans="1:27" x14ac:dyDescent="0.25">
      <c r="A20" s="51"/>
      <c r="B20" s="51"/>
      <c r="C20" s="192"/>
      <c r="D20" s="193"/>
      <c r="E20" s="194"/>
      <c r="F20" s="174"/>
      <c r="G20" s="195"/>
      <c r="H20" s="117" t="str">
        <f t="shared" si="8"/>
        <v/>
      </c>
      <c r="I20" s="117" t="str">
        <f t="shared" si="9"/>
        <v/>
      </c>
      <c r="J20" s="195"/>
      <c r="K20" s="195"/>
      <c r="L20" s="195"/>
      <c r="M20" s="195"/>
      <c r="N20" s="175" t="str">
        <f>IF(I20="","",'PK Zeitzuschläge qA'!$N$38)</f>
        <v/>
      </c>
      <c r="O20" s="195"/>
      <c r="P20" s="176" t="str">
        <f t="shared" si="10"/>
        <v/>
      </c>
      <c r="Q20" s="176" t="str">
        <f t="shared" si="11"/>
        <v/>
      </c>
      <c r="R20" s="117"/>
      <c r="S20" s="196"/>
      <c r="T20" s="40" t="str">
        <f t="shared" si="4"/>
        <v/>
      </c>
      <c r="U20" s="196"/>
      <c r="V20" s="40" t="str">
        <f t="shared" si="5"/>
        <v/>
      </c>
      <c r="W20" s="177" t="str">
        <f t="shared" si="12"/>
        <v/>
      </c>
      <c r="X20" s="178" t="str">
        <f t="shared" si="13"/>
        <v/>
      </c>
      <c r="Z20" s="229"/>
      <c r="AA20" s="341"/>
    </row>
    <row r="21" spans="1:27" x14ac:dyDescent="0.25">
      <c r="A21" s="51"/>
      <c r="B21" s="51"/>
      <c r="C21" s="192"/>
      <c r="D21" s="193"/>
      <c r="E21" s="194"/>
      <c r="F21" s="174"/>
      <c r="G21" s="195"/>
      <c r="H21" s="117" t="str">
        <f t="shared" si="8"/>
        <v/>
      </c>
      <c r="I21" s="117" t="str">
        <f t="shared" si="9"/>
        <v/>
      </c>
      <c r="J21" s="195"/>
      <c r="K21" s="195"/>
      <c r="L21" s="195"/>
      <c r="M21" s="195"/>
      <c r="N21" s="175" t="str">
        <f>IF(I21="","",'PK Zeitzuschläge qA'!$N$38)</f>
        <v/>
      </c>
      <c r="O21" s="195"/>
      <c r="P21" s="176" t="str">
        <f t="shared" si="10"/>
        <v/>
      </c>
      <c r="Q21" s="176" t="str">
        <f t="shared" si="11"/>
        <v/>
      </c>
      <c r="R21" s="117"/>
      <c r="S21" s="196"/>
      <c r="T21" s="40" t="str">
        <f t="shared" si="4"/>
        <v/>
      </c>
      <c r="U21" s="196"/>
      <c r="V21" s="40" t="str">
        <f t="shared" si="5"/>
        <v/>
      </c>
      <c r="W21" s="177" t="str">
        <f t="shared" si="12"/>
        <v/>
      </c>
      <c r="X21" s="178" t="str">
        <f t="shared" si="13"/>
        <v/>
      </c>
      <c r="Z21" s="229"/>
      <c r="AA21" s="341"/>
    </row>
    <row r="22" spans="1:27" x14ac:dyDescent="0.25">
      <c r="A22" s="51"/>
      <c r="B22" s="51"/>
      <c r="C22" s="192"/>
      <c r="D22" s="193"/>
      <c r="E22" s="194"/>
      <c r="F22" s="174"/>
      <c r="G22" s="195"/>
      <c r="H22" s="117" t="str">
        <f t="shared" si="8"/>
        <v/>
      </c>
      <c r="I22" s="117" t="str">
        <f t="shared" si="9"/>
        <v/>
      </c>
      <c r="J22" s="195"/>
      <c r="K22" s="195"/>
      <c r="L22" s="195"/>
      <c r="M22" s="195"/>
      <c r="N22" s="175" t="str">
        <f>IF(I22="","",'PK Zeitzuschläge qA'!$N$38)</f>
        <v/>
      </c>
      <c r="O22" s="195"/>
      <c r="P22" s="176" t="str">
        <f t="shared" si="10"/>
        <v/>
      </c>
      <c r="Q22" s="176" t="str">
        <f t="shared" si="11"/>
        <v/>
      </c>
      <c r="R22" s="117"/>
      <c r="S22" s="196"/>
      <c r="T22" s="40" t="str">
        <f t="shared" si="4"/>
        <v/>
      </c>
      <c r="U22" s="196"/>
      <c r="V22" s="40" t="str">
        <f t="shared" si="5"/>
        <v/>
      </c>
      <c r="W22" s="177" t="str">
        <f t="shared" si="12"/>
        <v/>
      </c>
      <c r="X22" s="178" t="str">
        <f t="shared" si="13"/>
        <v/>
      </c>
      <c r="Z22" s="229"/>
      <c r="AA22" s="341"/>
    </row>
    <row r="23" spans="1:27" x14ac:dyDescent="0.25">
      <c r="A23" s="51"/>
      <c r="B23" s="51"/>
      <c r="C23" s="192"/>
      <c r="D23" s="193"/>
      <c r="E23" s="194"/>
      <c r="F23" s="174"/>
      <c r="G23" s="195"/>
      <c r="H23" s="117" t="str">
        <f t="shared" si="8"/>
        <v/>
      </c>
      <c r="I23" s="117" t="str">
        <f t="shared" si="9"/>
        <v/>
      </c>
      <c r="J23" s="195"/>
      <c r="K23" s="195"/>
      <c r="L23" s="195"/>
      <c r="M23" s="195"/>
      <c r="N23" s="175" t="str">
        <f>IF(I23="","",'PK Zeitzuschläge qA'!$N$38)</f>
        <v/>
      </c>
      <c r="O23" s="195"/>
      <c r="P23" s="176" t="str">
        <f t="shared" si="10"/>
        <v/>
      </c>
      <c r="Q23" s="176" t="str">
        <f t="shared" si="11"/>
        <v/>
      </c>
      <c r="R23" s="117"/>
      <c r="S23" s="196"/>
      <c r="T23" s="40" t="str">
        <f t="shared" si="4"/>
        <v/>
      </c>
      <c r="U23" s="196"/>
      <c r="V23" s="40" t="str">
        <f t="shared" si="5"/>
        <v/>
      </c>
      <c r="W23" s="177" t="str">
        <f t="shared" si="12"/>
        <v/>
      </c>
      <c r="X23" s="178" t="str">
        <f t="shared" si="13"/>
        <v/>
      </c>
      <c r="Z23" s="229"/>
      <c r="AA23" s="341"/>
    </row>
    <row r="24" spans="1:27" x14ac:dyDescent="0.25">
      <c r="A24" s="51"/>
      <c r="B24" s="51"/>
      <c r="C24" s="192"/>
      <c r="D24" s="193"/>
      <c r="E24" s="194"/>
      <c r="F24" s="174"/>
      <c r="G24" s="195"/>
      <c r="H24" s="117" t="str">
        <f t="shared" si="8"/>
        <v/>
      </c>
      <c r="I24" s="117" t="str">
        <f t="shared" si="9"/>
        <v/>
      </c>
      <c r="J24" s="195"/>
      <c r="K24" s="195"/>
      <c r="L24" s="195"/>
      <c r="M24" s="195"/>
      <c r="N24" s="175" t="str">
        <f>IF(I24="","",'PK Zeitzuschläge qA'!$N$38)</f>
        <v/>
      </c>
      <c r="O24" s="195"/>
      <c r="P24" s="176" t="str">
        <f t="shared" si="10"/>
        <v/>
      </c>
      <c r="Q24" s="176" t="str">
        <f t="shared" si="11"/>
        <v/>
      </c>
      <c r="R24" s="117"/>
      <c r="S24" s="196"/>
      <c r="T24" s="40" t="str">
        <f t="shared" si="4"/>
        <v/>
      </c>
      <c r="U24" s="196"/>
      <c r="V24" s="40" t="str">
        <f t="shared" si="5"/>
        <v/>
      </c>
      <c r="W24" s="177" t="str">
        <f t="shared" si="12"/>
        <v/>
      </c>
      <c r="X24" s="178" t="str">
        <f t="shared" si="13"/>
        <v/>
      </c>
      <c r="Z24" s="229"/>
      <c r="AA24" s="341"/>
    </row>
    <row r="25" spans="1:27" x14ac:dyDescent="0.25">
      <c r="A25" s="51"/>
      <c r="B25" s="51"/>
      <c r="C25" s="192"/>
      <c r="D25" s="193"/>
      <c r="E25" s="194"/>
      <c r="F25" s="174"/>
      <c r="G25" s="195"/>
      <c r="H25" s="117" t="str">
        <f t="shared" si="8"/>
        <v/>
      </c>
      <c r="I25" s="117" t="str">
        <f t="shared" si="9"/>
        <v/>
      </c>
      <c r="J25" s="195"/>
      <c r="K25" s="195"/>
      <c r="L25" s="195"/>
      <c r="M25" s="195"/>
      <c r="N25" s="175" t="str">
        <f>IF(I25="","",'PK Zeitzuschläge qA'!$N$38)</f>
        <v/>
      </c>
      <c r="O25" s="195"/>
      <c r="P25" s="176" t="str">
        <f t="shared" si="10"/>
        <v/>
      </c>
      <c r="Q25" s="176" t="str">
        <f t="shared" si="11"/>
        <v/>
      </c>
      <c r="R25" s="117"/>
      <c r="S25" s="196"/>
      <c r="T25" s="40" t="str">
        <f t="shared" si="4"/>
        <v/>
      </c>
      <c r="U25" s="196"/>
      <c r="V25" s="40" t="str">
        <f t="shared" si="5"/>
        <v/>
      </c>
      <c r="W25" s="177" t="str">
        <f t="shared" si="12"/>
        <v/>
      </c>
      <c r="X25" s="178" t="str">
        <f t="shared" si="13"/>
        <v/>
      </c>
      <c r="Z25" s="229"/>
      <c r="AA25" s="341"/>
    </row>
    <row r="26" spans="1:27" x14ac:dyDescent="0.25">
      <c r="A26" s="51"/>
      <c r="B26" s="51"/>
      <c r="C26" s="192"/>
      <c r="D26" s="193"/>
      <c r="E26" s="194"/>
      <c r="F26" s="174"/>
      <c r="G26" s="195"/>
      <c r="H26" s="117" t="str">
        <f t="shared" si="8"/>
        <v/>
      </c>
      <c r="I26" s="117" t="str">
        <f t="shared" si="9"/>
        <v/>
      </c>
      <c r="J26" s="195"/>
      <c r="K26" s="195"/>
      <c r="L26" s="195"/>
      <c r="M26" s="195"/>
      <c r="N26" s="175" t="str">
        <f>IF(I26="","",'PK Zeitzuschläge qA'!$N$38)</f>
        <v/>
      </c>
      <c r="O26" s="195"/>
      <c r="P26" s="176" t="str">
        <f t="shared" si="10"/>
        <v/>
      </c>
      <c r="Q26" s="176" t="str">
        <f t="shared" si="11"/>
        <v/>
      </c>
      <c r="R26" s="117"/>
      <c r="S26" s="196"/>
      <c r="T26" s="40" t="str">
        <f t="shared" si="4"/>
        <v/>
      </c>
      <c r="U26" s="196"/>
      <c r="V26" s="40" t="str">
        <f t="shared" si="5"/>
        <v/>
      </c>
      <c r="W26" s="177" t="str">
        <f t="shared" si="12"/>
        <v/>
      </c>
      <c r="X26" s="178" t="str">
        <f t="shared" si="13"/>
        <v/>
      </c>
      <c r="Z26" s="229"/>
      <c r="AA26" s="341"/>
    </row>
    <row r="27" spans="1:27" x14ac:dyDescent="0.25">
      <c r="A27" s="51"/>
      <c r="B27" s="51"/>
      <c r="C27" s="192"/>
      <c r="D27" s="193"/>
      <c r="E27" s="194"/>
      <c r="F27" s="174"/>
      <c r="G27" s="195"/>
      <c r="H27" s="117" t="str">
        <f t="shared" si="8"/>
        <v/>
      </c>
      <c r="I27" s="117" t="str">
        <f t="shared" si="9"/>
        <v/>
      </c>
      <c r="J27" s="195"/>
      <c r="K27" s="195"/>
      <c r="L27" s="195"/>
      <c r="M27" s="195"/>
      <c r="N27" s="175" t="str">
        <f>IF(I27="","",'PK Zeitzuschläge qA'!$N$38)</f>
        <v/>
      </c>
      <c r="O27" s="195"/>
      <c r="P27" s="176" t="str">
        <f t="shared" si="10"/>
        <v/>
      </c>
      <c r="Q27" s="176" t="str">
        <f t="shared" si="11"/>
        <v/>
      </c>
      <c r="R27" s="117"/>
      <c r="S27" s="196"/>
      <c r="T27" s="40" t="str">
        <f t="shared" si="4"/>
        <v/>
      </c>
      <c r="U27" s="196"/>
      <c r="V27" s="40" t="str">
        <f t="shared" si="5"/>
        <v/>
      </c>
      <c r="W27" s="177" t="str">
        <f t="shared" si="12"/>
        <v/>
      </c>
      <c r="X27" s="178" t="str">
        <f t="shared" si="13"/>
        <v/>
      </c>
      <c r="Z27" s="229"/>
      <c r="AA27" s="341"/>
    </row>
    <row r="28" spans="1:27" x14ac:dyDescent="0.25">
      <c r="A28" s="51"/>
      <c r="B28" s="51"/>
      <c r="C28" s="192"/>
      <c r="D28" s="193"/>
      <c r="E28" s="194"/>
      <c r="F28" s="174"/>
      <c r="G28" s="195"/>
      <c r="H28" s="117" t="str">
        <f t="shared" si="8"/>
        <v/>
      </c>
      <c r="I28" s="117" t="str">
        <f t="shared" si="9"/>
        <v/>
      </c>
      <c r="J28" s="195"/>
      <c r="K28" s="195"/>
      <c r="L28" s="195"/>
      <c r="M28" s="195"/>
      <c r="N28" s="175" t="str">
        <f>IF(I28="","",'PK Zeitzuschläge qA'!$N$38)</f>
        <v/>
      </c>
      <c r="O28" s="195"/>
      <c r="P28" s="176" t="str">
        <f t="shared" si="10"/>
        <v/>
      </c>
      <c r="Q28" s="176" t="str">
        <f t="shared" si="11"/>
        <v/>
      </c>
      <c r="R28" s="117"/>
      <c r="S28" s="196"/>
      <c r="T28" s="40" t="str">
        <f t="shared" si="4"/>
        <v/>
      </c>
      <c r="U28" s="196"/>
      <c r="V28" s="40" t="str">
        <f t="shared" si="5"/>
        <v/>
      </c>
      <c r="W28" s="177" t="str">
        <f t="shared" si="12"/>
        <v/>
      </c>
      <c r="X28" s="178" t="str">
        <f t="shared" si="13"/>
        <v/>
      </c>
      <c r="Z28" s="229"/>
      <c r="AA28" s="341"/>
    </row>
    <row r="29" spans="1:27" x14ac:dyDescent="0.25">
      <c r="A29" s="51"/>
      <c r="B29" s="51"/>
      <c r="C29" s="192"/>
      <c r="D29" s="193"/>
      <c r="E29" s="194"/>
      <c r="F29" s="174"/>
      <c r="G29" s="195"/>
      <c r="H29" s="117" t="str">
        <f t="shared" si="8"/>
        <v/>
      </c>
      <c r="I29" s="117" t="str">
        <f t="shared" si="9"/>
        <v/>
      </c>
      <c r="J29" s="195"/>
      <c r="K29" s="195"/>
      <c r="L29" s="195"/>
      <c r="M29" s="195"/>
      <c r="N29" s="175" t="str">
        <f>IF(I29="","",'PK Zeitzuschläge qA'!$N$38)</f>
        <v/>
      </c>
      <c r="O29" s="195"/>
      <c r="P29" s="176" t="str">
        <f t="shared" si="10"/>
        <v/>
      </c>
      <c r="Q29" s="176" t="str">
        <f t="shared" si="11"/>
        <v/>
      </c>
      <c r="R29" s="117"/>
      <c r="S29" s="196"/>
      <c r="T29" s="40" t="str">
        <f t="shared" si="4"/>
        <v/>
      </c>
      <c r="U29" s="196"/>
      <c r="V29" s="40" t="str">
        <f t="shared" si="5"/>
        <v/>
      </c>
      <c r="W29" s="177" t="str">
        <f t="shared" si="12"/>
        <v/>
      </c>
      <c r="X29" s="178" t="str">
        <f t="shared" si="13"/>
        <v/>
      </c>
      <c r="Z29" s="229"/>
      <c r="AA29" s="341"/>
    </row>
    <row r="30" spans="1:27" x14ac:dyDescent="0.25">
      <c r="A30" s="51"/>
      <c r="B30" s="51"/>
      <c r="C30" s="192"/>
      <c r="D30" s="193"/>
      <c r="E30" s="194"/>
      <c r="F30" s="174"/>
      <c r="G30" s="195"/>
      <c r="H30" s="117" t="str">
        <f t="shared" si="8"/>
        <v/>
      </c>
      <c r="I30" s="117" t="str">
        <f t="shared" si="9"/>
        <v/>
      </c>
      <c r="J30" s="195"/>
      <c r="K30" s="195"/>
      <c r="L30" s="195"/>
      <c r="M30" s="195"/>
      <c r="N30" s="175" t="str">
        <f>IF(I30="","",'PK Zeitzuschläge qA'!$N$38)</f>
        <v/>
      </c>
      <c r="O30" s="195"/>
      <c r="P30" s="176" t="str">
        <f t="shared" si="10"/>
        <v/>
      </c>
      <c r="Q30" s="176" t="str">
        <f t="shared" si="11"/>
        <v/>
      </c>
      <c r="R30" s="117"/>
      <c r="S30" s="196"/>
      <c r="T30" s="40" t="str">
        <f t="shared" si="4"/>
        <v/>
      </c>
      <c r="U30" s="196"/>
      <c r="V30" s="40" t="str">
        <f t="shared" si="5"/>
        <v/>
      </c>
      <c r="W30" s="177" t="str">
        <f t="shared" si="12"/>
        <v/>
      </c>
      <c r="X30" s="178" t="str">
        <f t="shared" si="13"/>
        <v/>
      </c>
      <c r="Z30" s="229"/>
      <c r="AA30" s="341"/>
    </row>
    <row r="31" spans="1:27" x14ac:dyDescent="0.25">
      <c r="A31" s="51"/>
      <c r="B31" s="51"/>
      <c r="C31" s="192"/>
      <c r="D31" s="193"/>
      <c r="E31" s="194"/>
      <c r="F31" s="174"/>
      <c r="G31" s="195"/>
      <c r="H31" s="117" t="str">
        <f t="shared" si="8"/>
        <v/>
      </c>
      <c r="I31" s="117" t="str">
        <f t="shared" si="9"/>
        <v/>
      </c>
      <c r="J31" s="195"/>
      <c r="K31" s="195"/>
      <c r="L31" s="195"/>
      <c r="M31" s="195"/>
      <c r="N31" s="175" t="str">
        <f>IF(I31="","",'PK Zeitzuschläge qA'!$N$38)</f>
        <v/>
      </c>
      <c r="O31" s="195"/>
      <c r="P31" s="176" t="str">
        <f t="shared" si="10"/>
        <v/>
      </c>
      <c r="Q31" s="176" t="str">
        <f t="shared" si="11"/>
        <v/>
      </c>
      <c r="R31" s="117"/>
      <c r="S31" s="196"/>
      <c r="T31" s="40" t="str">
        <f t="shared" si="4"/>
        <v/>
      </c>
      <c r="U31" s="196"/>
      <c r="V31" s="40" t="str">
        <f t="shared" si="5"/>
        <v/>
      </c>
      <c r="W31" s="177" t="str">
        <f t="shared" si="12"/>
        <v/>
      </c>
      <c r="X31" s="178" t="str">
        <f t="shared" si="13"/>
        <v/>
      </c>
      <c r="Z31" s="229"/>
      <c r="AA31" s="341"/>
    </row>
    <row r="32" spans="1:27" x14ac:dyDescent="0.25">
      <c r="A32" s="51"/>
      <c r="B32" s="51"/>
      <c r="C32" s="192"/>
      <c r="D32" s="193"/>
      <c r="E32" s="194"/>
      <c r="F32" s="174"/>
      <c r="G32" s="195"/>
      <c r="H32" s="117" t="str">
        <f t="shared" si="8"/>
        <v/>
      </c>
      <c r="I32" s="117" t="str">
        <f t="shared" si="9"/>
        <v/>
      </c>
      <c r="J32" s="195"/>
      <c r="K32" s="195"/>
      <c r="L32" s="195"/>
      <c r="M32" s="195"/>
      <c r="N32" s="175" t="str">
        <f>IF(I32="","",'PK Zeitzuschläge qA'!$N$38)</f>
        <v/>
      </c>
      <c r="O32" s="195"/>
      <c r="P32" s="176" t="str">
        <f t="shared" si="10"/>
        <v/>
      </c>
      <c r="Q32" s="176" t="str">
        <f t="shared" si="11"/>
        <v/>
      </c>
      <c r="R32" s="117"/>
      <c r="S32" s="196"/>
      <c r="T32" s="40" t="str">
        <f t="shared" si="4"/>
        <v/>
      </c>
      <c r="U32" s="196"/>
      <c r="V32" s="40" t="str">
        <f t="shared" si="5"/>
        <v/>
      </c>
      <c r="W32" s="177" t="str">
        <f t="shared" si="12"/>
        <v/>
      </c>
      <c r="X32" s="178" t="str">
        <f t="shared" si="13"/>
        <v/>
      </c>
      <c r="Z32" s="229"/>
      <c r="AA32" s="341"/>
    </row>
    <row r="33" spans="1:27" x14ac:dyDescent="0.25">
      <c r="A33" s="51"/>
      <c r="B33" s="51"/>
      <c r="C33" s="192"/>
      <c r="D33" s="193"/>
      <c r="E33" s="194"/>
      <c r="F33" s="174"/>
      <c r="G33" s="195"/>
      <c r="H33" s="117" t="str">
        <f t="shared" si="8"/>
        <v/>
      </c>
      <c r="I33" s="117" t="str">
        <f t="shared" si="9"/>
        <v/>
      </c>
      <c r="J33" s="195"/>
      <c r="K33" s="195"/>
      <c r="L33" s="195"/>
      <c r="M33" s="195"/>
      <c r="N33" s="175" t="str">
        <f>IF(I33="","",'PK Zeitzuschläge qA'!$N$38)</f>
        <v/>
      </c>
      <c r="O33" s="195"/>
      <c r="P33" s="176" t="str">
        <f t="shared" si="10"/>
        <v/>
      </c>
      <c r="Q33" s="176" t="str">
        <f t="shared" si="11"/>
        <v/>
      </c>
      <c r="R33" s="117"/>
      <c r="S33" s="196"/>
      <c r="T33" s="40" t="str">
        <f t="shared" si="4"/>
        <v/>
      </c>
      <c r="U33" s="196"/>
      <c r="V33" s="40" t="str">
        <f t="shared" si="5"/>
        <v/>
      </c>
      <c r="W33" s="177" t="str">
        <f t="shared" si="12"/>
        <v/>
      </c>
      <c r="X33" s="178" t="str">
        <f t="shared" si="13"/>
        <v/>
      </c>
      <c r="Z33" s="229"/>
      <c r="AA33" s="341"/>
    </row>
    <row r="34" spans="1:27" x14ac:dyDescent="0.25">
      <c r="A34" s="51"/>
      <c r="B34" s="51"/>
      <c r="C34" s="192"/>
      <c r="D34" s="193"/>
      <c r="E34" s="194"/>
      <c r="F34" s="174"/>
      <c r="G34" s="195"/>
      <c r="H34" s="117" t="str">
        <f t="shared" si="8"/>
        <v/>
      </c>
      <c r="I34" s="117" t="str">
        <f t="shared" si="9"/>
        <v/>
      </c>
      <c r="J34" s="195"/>
      <c r="K34" s="195"/>
      <c r="L34" s="195"/>
      <c r="M34" s="195"/>
      <c r="N34" s="175" t="str">
        <f>IF(I34="","",'PK Zeitzuschläge qA'!$N$38)</f>
        <v/>
      </c>
      <c r="O34" s="195"/>
      <c r="P34" s="176" t="str">
        <f t="shared" si="10"/>
        <v/>
      </c>
      <c r="Q34" s="176" t="str">
        <f t="shared" si="11"/>
        <v/>
      </c>
      <c r="R34" s="117"/>
      <c r="S34" s="196"/>
      <c r="T34" s="40" t="str">
        <f t="shared" si="4"/>
        <v/>
      </c>
      <c r="U34" s="196"/>
      <c r="V34" s="40" t="str">
        <f t="shared" si="5"/>
        <v/>
      </c>
      <c r="W34" s="177" t="str">
        <f t="shared" si="12"/>
        <v/>
      </c>
      <c r="X34" s="178" t="str">
        <f t="shared" si="13"/>
        <v/>
      </c>
      <c r="Z34" s="229"/>
      <c r="AA34" s="341"/>
    </row>
    <row r="35" spans="1:27" x14ac:dyDescent="0.25">
      <c r="A35" s="51"/>
      <c r="B35" s="51"/>
      <c r="C35" s="192"/>
      <c r="D35" s="193"/>
      <c r="E35" s="194"/>
      <c r="F35" s="174"/>
      <c r="G35" s="195"/>
      <c r="H35" s="117" t="str">
        <f t="shared" si="8"/>
        <v/>
      </c>
      <c r="I35" s="117" t="str">
        <f t="shared" si="9"/>
        <v/>
      </c>
      <c r="J35" s="195"/>
      <c r="K35" s="195"/>
      <c r="L35" s="195"/>
      <c r="M35" s="195"/>
      <c r="N35" s="175" t="str">
        <f>IF(I35="","",'PK Zeitzuschläge qA'!$N$38)</f>
        <v/>
      </c>
      <c r="O35" s="195"/>
      <c r="P35" s="176" t="str">
        <f t="shared" si="10"/>
        <v/>
      </c>
      <c r="Q35" s="176" t="str">
        <f t="shared" si="11"/>
        <v/>
      </c>
      <c r="R35" s="117"/>
      <c r="S35" s="196"/>
      <c r="T35" s="40" t="str">
        <f t="shared" si="4"/>
        <v/>
      </c>
      <c r="U35" s="196"/>
      <c r="V35" s="40" t="str">
        <f t="shared" si="5"/>
        <v/>
      </c>
      <c r="W35" s="177" t="str">
        <f t="shared" si="12"/>
        <v/>
      </c>
      <c r="X35" s="178" t="str">
        <f t="shared" si="13"/>
        <v/>
      </c>
      <c r="Z35" s="229"/>
      <c r="AA35" s="341"/>
    </row>
    <row r="36" spans="1:27" x14ac:dyDescent="0.25">
      <c r="A36" s="51"/>
      <c r="B36" s="51"/>
      <c r="C36" s="192"/>
      <c r="D36" s="193"/>
      <c r="E36" s="194"/>
      <c r="F36" s="174"/>
      <c r="G36" s="195"/>
      <c r="H36" s="117" t="str">
        <f t="shared" si="8"/>
        <v/>
      </c>
      <c r="I36" s="117" t="str">
        <f t="shared" si="9"/>
        <v/>
      </c>
      <c r="J36" s="195"/>
      <c r="K36" s="195"/>
      <c r="L36" s="195"/>
      <c r="M36" s="195"/>
      <c r="N36" s="175" t="str">
        <f>IF(I36="","",'PK Zeitzuschläge qA'!$N$38)</f>
        <v/>
      </c>
      <c r="O36" s="195"/>
      <c r="P36" s="176" t="str">
        <f t="shared" si="10"/>
        <v/>
      </c>
      <c r="Q36" s="176" t="str">
        <f t="shared" si="11"/>
        <v/>
      </c>
      <c r="R36" s="117"/>
      <c r="S36" s="196"/>
      <c r="T36" s="40" t="str">
        <f t="shared" si="4"/>
        <v/>
      </c>
      <c r="U36" s="196"/>
      <c r="V36" s="40" t="str">
        <f t="shared" si="5"/>
        <v/>
      </c>
      <c r="W36" s="177" t="str">
        <f t="shared" si="12"/>
        <v/>
      </c>
      <c r="X36" s="178" t="str">
        <f t="shared" si="13"/>
        <v/>
      </c>
      <c r="Z36" s="229"/>
      <c r="AA36" s="341"/>
    </row>
    <row r="37" spans="1:27" x14ac:dyDescent="0.25">
      <c r="A37" s="51"/>
      <c r="B37" s="51"/>
      <c r="C37" s="192"/>
      <c r="D37" s="193"/>
      <c r="E37" s="194"/>
      <c r="F37" s="174"/>
      <c r="G37" s="195"/>
      <c r="H37" s="117" t="str">
        <f t="shared" si="8"/>
        <v/>
      </c>
      <c r="I37" s="117" t="str">
        <f t="shared" si="9"/>
        <v/>
      </c>
      <c r="J37" s="195"/>
      <c r="K37" s="195"/>
      <c r="L37" s="195"/>
      <c r="M37" s="195"/>
      <c r="N37" s="175" t="str">
        <f>IF(I37="","",'PK Zeitzuschläge qA'!$N$38)</f>
        <v/>
      </c>
      <c r="O37" s="195"/>
      <c r="P37" s="176" t="str">
        <f t="shared" si="10"/>
        <v/>
      </c>
      <c r="Q37" s="176" t="str">
        <f t="shared" si="11"/>
        <v/>
      </c>
      <c r="R37" s="117"/>
      <c r="S37" s="196"/>
      <c r="T37" s="40" t="str">
        <f t="shared" si="4"/>
        <v/>
      </c>
      <c r="U37" s="196"/>
      <c r="V37" s="40" t="str">
        <f t="shared" si="5"/>
        <v/>
      </c>
      <c r="W37" s="177" t="str">
        <f t="shared" si="12"/>
        <v/>
      </c>
      <c r="X37" s="178" t="str">
        <f t="shared" si="13"/>
        <v/>
      </c>
      <c r="Z37" s="229"/>
      <c r="AA37" s="341"/>
    </row>
    <row r="38" spans="1:27" x14ac:dyDescent="0.25">
      <c r="A38" s="51"/>
      <c r="B38" s="51"/>
      <c r="C38" s="192"/>
      <c r="D38" s="193"/>
      <c r="E38" s="194"/>
      <c r="F38" s="174"/>
      <c r="G38" s="195"/>
      <c r="H38" s="117" t="str">
        <f t="shared" si="8"/>
        <v/>
      </c>
      <c r="I38" s="117" t="str">
        <f t="shared" si="9"/>
        <v/>
      </c>
      <c r="J38" s="195"/>
      <c r="K38" s="195"/>
      <c r="L38" s="195"/>
      <c r="M38" s="195"/>
      <c r="N38" s="175" t="str">
        <f>IF(I38="","",'PK Zeitzuschläge qA'!$N$38)</f>
        <v/>
      </c>
      <c r="O38" s="195"/>
      <c r="P38" s="176" t="str">
        <f t="shared" si="10"/>
        <v/>
      </c>
      <c r="Q38" s="176" t="str">
        <f t="shared" si="11"/>
        <v/>
      </c>
      <c r="R38" s="117"/>
      <c r="S38" s="196"/>
      <c r="T38" s="40" t="str">
        <f t="shared" si="4"/>
        <v/>
      </c>
      <c r="U38" s="196"/>
      <c r="V38" s="40" t="str">
        <f t="shared" si="5"/>
        <v/>
      </c>
      <c r="W38" s="177" t="str">
        <f t="shared" si="12"/>
        <v/>
      </c>
      <c r="X38" s="178" t="str">
        <f t="shared" si="13"/>
        <v/>
      </c>
      <c r="Z38" s="229"/>
      <c r="AA38" s="341"/>
    </row>
    <row r="39" spans="1:27" x14ac:dyDescent="0.25">
      <c r="A39" s="51"/>
      <c r="B39" s="51"/>
      <c r="C39" s="192"/>
      <c r="D39" s="193"/>
      <c r="E39" s="194"/>
      <c r="F39" s="174"/>
      <c r="G39" s="195"/>
      <c r="H39" s="117" t="str">
        <f t="shared" si="8"/>
        <v/>
      </c>
      <c r="I39" s="117" t="str">
        <f t="shared" si="9"/>
        <v/>
      </c>
      <c r="J39" s="195"/>
      <c r="K39" s="195"/>
      <c r="L39" s="195"/>
      <c r="M39" s="195"/>
      <c r="N39" s="175" t="str">
        <f>IF(I39="","",'PK Zeitzuschläge qA'!$N$38)</f>
        <v/>
      </c>
      <c r="O39" s="195"/>
      <c r="P39" s="176" t="str">
        <f t="shared" si="10"/>
        <v/>
      </c>
      <c r="Q39" s="176" t="str">
        <f t="shared" si="11"/>
        <v/>
      </c>
      <c r="R39" s="117"/>
      <c r="S39" s="196"/>
      <c r="T39" s="40" t="str">
        <f t="shared" si="4"/>
        <v/>
      </c>
      <c r="U39" s="196"/>
      <c r="V39" s="40" t="str">
        <f t="shared" si="5"/>
        <v/>
      </c>
      <c r="W39" s="177" t="str">
        <f t="shared" si="12"/>
        <v/>
      </c>
      <c r="X39" s="178" t="str">
        <f t="shared" si="13"/>
        <v/>
      </c>
      <c r="Z39" s="229"/>
      <c r="AA39" s="341"/>
    </row>
    <row r="40" spans="1:27" x14ac:dyDescent="0.25">
      <c r="A40" s="41" t="s">
        <v>141</v>
      </c>
      <c r="B40" s="41"/>
      <c r="C40" s="192"/>
      <c r="D40" s="193"/>
      <c r="E40" s="194"/>
      <c r="F40" s="174"/>
      <c r="G40" s="195"/>
      <c r="H40" s="117" t="str">
        <f t="shared" ref="H40:H41" si="14">IF($H$7=0,"",IF(G40&gt;0,ROUND(G40*$H$7,2),""))</f>
        <v/>
      </c>
      <c r="I40" s="117" t="str">
        <f t="shared" ref="I40:I41" si="15">IF(G40&gt;0,G40+IF(H40="",0,H40),"")</f>
        <v/>
      </c>
      <c r="J40" s="195"/>
      <c r="K40" s="195"/>
      <c r="L40" s="195"/>
      <c r="M40" s="195"/>
      <c r="N40" s="175"/>
      <c r="O40" s="195"/>
      <c r="P40" s="176" t="str">
        <f t="shared" ref="P40:P41" si="16">IF(SUM(I40:O40)=0,"",SUM(I40:O40))</f>
        <v/>
      </c>
      <c r="Q40" s="176" t="str">
        <f t="shared" ref="Q40:Q41" si="17">IF(P40="","",ROUND(P40*12,2))</f>
        <v/>
      </c>
      <c r="R40" s="117"/>
      <c r="S40" s="196"/>
      <c r="T40" s="40" t="str">
        <f t="shared" si="4"/>
        <v/>
      </c>
      <c r="U40" s="196"/>
      <c r="V40" s="40" t="str">
        <f t="shared" si="5"/>
        <v/>
      </c>
      <c r="W40" s="177" t="str">
        <f t="shared" ref="W40:W41" si="18">IF(SUM(V40,T40,Q40)&gt;0,SUM(V40,T40,Q40),"")</f>
        <v/>
      </c>
      <c r="X40" s="178" t="str">
        <f t="shared" ref="X40:X41" si="19">IF(W40="","",ROUND(W40/12,2))</f>
        <v/>
      </c>
      <c r="Z40" s="229"/>
      <c r="AA40" s="341"/>
    </row>
    <row r="41" spans="1:27" x14ac:dyDescent="0.25">
      <c r="A41" s="41" t="s">
        <v>142</v>
      </c>
      <c r="B41" s="41"/>
      <c r="C41" s="192"/>
      <c r="D41" s="193"/>
      <c r="E41" s="194"/>
      <c r="F41" s="174"/>
      <c r="G41" s="195"/>
      <c r="H41" s="117" t="str">
        <f t="shared" si="14"/>
        <v/>
      </c>
      <c r="I41" s="117" t="str">
        <f t="shared" si="15"/>
        <v/>
      </c>
      <c r="J41" s="195"/>
      <c r="K41" s="195"/>
      <c r="L41" s="195"/>
      <c r="M41" s="195"/>
      <c r="N41" s="175"/>
      <c r="O41" s="195"/>
      <c r="P41" s="176" t="str">
        <f t="shared" si="16"/>
        <v/>
      </c>
      <c r="Q41" s="176" t="str">
        <f t="shared" si="17"/>
        <v/>
      </c>
      <c r="R41" s="117"/>
      <c r="S41" s="196"/>
      <c r="T41" s="40" t="str">
        <f t="shared" si="4"/>
        <v/>
      </c>
      <c r="U41" s="196"/>
      <c r="V41" s="40" t="str">
        <f t="shared" si="5"/>
        <v/>
      </c>
      <c r="W41" s="177" t="str">
        <f t="shared" si="18"/>
        <v/>
      </c>
      <c r="X41" s="178" t="str">
        <f t="shared" si="19"/>
        <v/>
      </c>
      <c r="Z41" s="229"/>
      <c r="AA41" s="341"/>
    </row>
    <row r="42" spans="1:27" x14ac:dyDescent="0.25">
      <c r="A42" s="41" t="str">
        <f>IF('PK Zusammenfassung'!A41=0,"",'PK Zusammenfassung'!A41)</f>
        <v>Praktikant:innen</v>
      </c>
      <c r="B42" s="41"/>
      <c r="C42" s="192"/>
      <c r="D42" s="193"/>
      <c r="E42" s="194"/>
      <c r="F42" s="174"/>
      <c r="G42" s="195"/>
      <c r="H42" s="179"/>
      <c r="I42" s="117" t="str">
        <f t="shared" si="1"/>
        <v/>
      </c>
      <c r="J42" s="179"/>
      <c r="K42" s="179"/>
      <c r="L42" s="179"/>
      <c r="M42" s="179"/>
      <c r="N42" s="179"/>
      <c r="O42" s="179"/>
      <c r="P42" s="176" t="str">
        <f t="shared" si="2"/>
        <v/>
      </c>
      <c r="Q42" s="176" t="str">
        <f t="shared" si="3"/>
        <v/>
      </c>
      <c r="R42" s="117"/>
      <c r="S42" s="179"/>
      <c r="T42" s="179"/>
      <c r="U42" s="179"/>
      <c r="V42" s="179"/>
      <c r="W42" s="177" t="str">
        <f t="shared" si="6"/>
        <v/>
      </c>
      <c r="X42" s="178" t="str">
        <f t="shared" si="7"/>
        <v/>
      </c>
      <c r="Z42" s="229"/>
      <c r="AA42" s="341"/>
    </row>
    <row r="43" spans="1:27" x14ac:dyDescent="0.25">
      <c r="A43" s="41" t="str">
        <f>IF('PK Zusammenfassung'!A42=0,"",'PK Zusammenfassung'!A42)</f>
        <v>MiniJob</v>
      </c>
      <c r="B43" s="41"/>
      <c r="C43" s="192"/>
      <c r="D43" s="193"/>
      <c r="E43" s="194"/>
      <c r="F43" s="174"/>
      <c r="G43" s="195"/>
      <c r="H43" s="179"/>
      <c r="I43" s="117" t="str">
        <f t="shared" si="1"/>
        <v/>
      </c>
      <c r="J43" s="179"/>
      <c r="K43" s="179"/>
      <c r="L43" s="179"/>
      <c r="M43" s="179"/>
      <c r="N43" s="179"/>
      <c r="O43" s="179"/>
      <c r="P43" s="176" t="str">
        <f t="shared" si="2"/>
        <v/>
      </c>
      <c r="Q43" s="176" t="str">
        <f t="shared" si="3"/>
        <v/>
      </c>
      <c r="R43" s="117"/>
      <c r="S43" s="179"/>
      <c r="T43" s="179"/>
      <c r="U43" s="179"/>
      <c r="V43" s="179"/>
      <c r="W43" s="177" t="str">
        <f t="shared" si="6"/>
        <v/>
      </c>
      <c r="X43" s="178" t="str">
        <f t="shared" si="7"/>
        <v/>
      </c>
      <c r="Z43" s="229"/>
      <c r="AA43" s="341"/>
    </row>
    <row r="44" spans="1:27" x14ac:dyDescent="0.25">
      <c r="A44" s="180"/>
      <c r="B44" s="180"/>
      <c r="C44" s="185"/>
      <c r="D44" s="166"/>
      <c r="E44" s="167"/>
      <c r="F44" s="167"/>
      <c r="G44" s="167"/>
      <c r="H44" s="167"/>
      <c r="I44" s="168"/>
      <c r="J44" s="168"/>
      <c r="K44" s="168"/>
      <c r="L44" s="168"/>
      <c r="M44" s="168"/>
      <c r="N44" s="168"/>
      <c r="O44" s="168"/>
      <c r="P44" s="168"/>
      <c r="Q44" s="168"/>
      <c r="R44" s="168"/>
      <c r="S44" s="181"/>
      <c r="T44" s="182"/>
      <c r="U44" s="181"/>
      <c r="V44" s="182"/>
      <c r="W44" s="181"/>
      <c r="X44" s="183"/>
    </row>
    <row r="45" spans="1:27" x14ac:dyDescent="0.25">
      <c r="A45" s="164" t="s">
        <v>43</v>
      </c>
      <c r="B45" s="164"/>
      <c r="C45" s="186"/>
      <c r="D45" s="187"/>
      <c r="E45" s="188"/>
      <c r="F45" s="188"/>
      <c r="G45" s="188"/>
      <c r="H45" s="188"/>
      <c r="I45" s="189"/>
      <c r="J45" s="189"/>
      <c r="K45" s="189"/>
      <c r="L45" s="189"/>
      <c r="M45" s="189"/>
      <c r="N45" s="189"/>
      <c r="O45" s="189"/>
      <c r="P45" s="189"/>
      <c r="Q45" s="189"/>
      <c r="R45" s="189"/>
      <c r="S45" s="190"/>
      <c r="T45" s="182"/>
      <c r="U45" s="190"/>
      <c r="V45" s="182"/>
      <c r="W45" s="182"/>
      <c r="X45" s="184"/>
    </row>
    <row r="46" spans="1:27" x14ac:dyDescent="0.25">
      <c r="A46" s="51"/>
      <c r="B46" s="41"/>
      <c r="C46" s="192"/>
      <c r="D46" s="193"/>
      <c r="E46" s="194"/>
      <c r="F46" s="174"/>
      <c r="G46" s="195"/>
      <c r="H46" s="117" t="str">
        <f t="shared" ref="H46:H55" si="20">IF($H$7=0,"",IF(G46&gt;0,ROUND(G46*$H$7,2),""))</f>
        <v/>
      </c>
      <c r="I46" s="117" t="str">
        <f t="shared" ref="I46:I56" si="21">IF(G46&gt;0,G46+IF(H46="",0,H46),"")</f>
        <v/>
      </c>
      <c r="J46" s="195"/>
      <c r="K46" s="195"/>
      <c r="L46" s="195"/>
      <c r="M46" s="195"/>
      <c r="N46" s="179"/>
      <c r="O46" s="195"/>
      <c r="P46" s="176" t="str">
        <f t="shared" ref="P46:P56" si="22">IF(SUM(I46:O46)=0,"",SUM(I46:O46))</f>
        <v/>
      </c>
      <c r="Q46" s="176" t="str">
        <f t="shared" ref="Q46:Q56" si="23">IF(P46="","",ROUND(P46*12,2))</f>
        <v/>
      </c>
      <c r="R46" s="117"/>
      <c r="S46" s="196"/>
      <c r="T46" s="40" t="str">
        <f t="shared" ref="T46:T55" si="24">IF(S46="","",ROUND(S46*(P46-O46),2))</f>
        <v/>
      </c>
      <c r="U46" s="196"/>
      <c r="V46" s="40" t="str">
        <f t="shared" ref="V46:V55" si="25">IF(U46&gt;0,ROUND((Q46-O46*12)*U46,2),"")</f>
        <v/>
      </c>
      <c r="W46" s="177" t="str">
        <f t="shared" ref="W46:W56" si="26">IF(SUM(V46,T46,Q46)&gt;0,SUM(V46,T46,Q46),"")</f>
        <v/>
      </c>
      <c r="X46" s="178" t="str">
        <f t="shared" ref="X46:X56" si="27">IF(W46="","",ROUND(W46/12,2))</f>
        <v/>
      </c>
      <c r="Z46" s="229"/>
      <c r="AA46" s="341"/>
    </row>
    <row r="47" spans="1:27" x14ac:dyDescent="0.25">
      <c r="A47" s="51"/>
      <c r="B47" s="41"/>
      <c r="C47" s="192"/>
      <c r="D47" s="193"/>
      <c r="E47" s="194"/>
      <c r="F47" s="174"/>
      <c r="G47" s="195"/>
      <c r="H47" s="117" t="str">
        <f t="shared" si="20"/>
        <v/>
      </c>
      <c r="I47" s="117" t="str">
        <f t="shared" si="21"/>
        <v/>
      </c>
      <c r="J47" s="195"/>
      <c r="K47" s="195"/>
      <c r="L47" s="195"/>
      <c r="M47" s="195"/>
      <c r="N47" s="179"/>
      <c r="O47" s="195"/>
      <c r="P47" s="176" t="str">
        <f t="shared" si="22"/>
        <v/>
      </c>
      <c r="Q47" s="176" t="str">
        <f t="shared" si="23"/>
        <v/>
      </c>
      <c r="R47" s="117"/>
      <c r="S47" s="196"/>
      <c r="T47" s="40" t="str">
        <f t="shared" si="24"/>
        <v/>
      </c>
      <c r="U47" s="196"/>
      <c r="V47" s="40" t="str">
        <f t="shared" si="25"/>
        <v/>
      </c>
      <c r="W47" s="177" t="str">
        <f t="shared" si="26"/>
        <v/>
      </c>
      <c r="X47" s="178" t="str">
        <f t="shared" si="27"/>
        <v/>
      </c>
      <c r="Z47" s="229"/>
      <c r="AA47" s="341"/>
    </row>
    <row r="48" spans="1:27" x14ac:dyDescent="0.25">
      <c r="A48" s="51"/>
      <c r="B48" s="41"/>
      <c r="C48" s="192"/>
      <c r="D48" s="193"/>
      <c r="E48" s="194"/>
      <c r="F48" s="174"/>
      <c r="G48" s="195"/>
      <c r="H48" s="117" t="str">
        <f t="shared" si="20"/>
        <v/>
      </c>
      <c r="I48" s="117" t="str">
        <f t="shared" si="21"/>
        <v/>
      </c>
      <c r="J48" s="195"/>
      <c r="K48" s="195"/>
      <c r="L48" s="195"/>
      <c r="M48" s="195"/>
      <c r="N48" s="179"/>
      <c r="O48" s="195"/>
      <c r="P48" s="176" t="str">
        <f t="shared" si="22"/>
        <v/>
      </c>
      <c r="Q48" s="176" t="str">
        <f t="shared" si="23"/>
        <v/>
      </c>
      <c r="R48" s="117"/>
      <c r="S48" s="196"/>
      <c r="T48" s="40" t="str">
        <f t="shared" si="24"/>
        <v/>
      </c>
      <c r="U48" s="196"/>
      <c r="V48" s="40" t="str">
        <f t="shared" si="25"/>
        <v/>
      </c>
      <c r="W48" s="177" t="str">
        <f t="shared" si="26"/>
        <v/>
      </c>
      <c r="X48" s="178" t="str">
        <f t="shared" si="27"/>
        <v/>
      </c>
      <c r="Z48" s="229"/>
      <c r="AA48" s="341"/>
    </row>
    <row r="49" spans="1:27" x14ac:dyDescent="0.25">
      <c r="A49" s="51"/>
      <c r="B49" s="41"/>
      <c r="C49" s="192"/>
      <c r="D49" s="193"/>
      <c r="E49" s="194"/>
      <c r="F49" s="174"/>
      <c r="G49" s="195"/>
      <c r="H49" s="117" t="str">
        <f t="shared" si="20"/>
        <v/>
      </c>
      <c r="I49" s="117" t="str">
        <f t="shared" si="21"/>
        <v/>
      </c>
      <c r="J49" s="195"/>
      <c r="K49" s="195"/>
      <c r="L49" s="195"/>
      <c r="M49" s="195"/>
      <c r="N49" s="179"/>
      <c r="O49" s="195"/>
      <c r="P49" s="176" t="str">
        <f t="shared" si="22"/>
        <v/>
      </c>
      <c r="Q49" s="176" t="str">
        <f t="shared" si="23"/>
        <v/>
      </c>
      <c r="R49" s="117"/>
      <c r="S49" s="196"/>
      <c r="T49" s="40" t="str">
        <f t="shared" si="24"/>
        <v/>
      </c>
      <c r="U49" s="196"/>
      <c r="V49" s="40" t="str">
        <f t="shared" si="25"/>
        <v/>
      </c>
      <c r="W49" s="177" t="str">
        <f t="shared" si="26"/>
        <v/>
      </c>
      <c r="X49" s="178" t="str">
        <f t="shared" si="27"/>
        <v/>
      </c>
      <c r="Z49" s="229"/>
      <c r="AA49" s="341"/>
    </row>
    <row r="50" spans="1:27" x14ac:dyDescent="0.25">
      <c r="A50" s="51"/>
      <c r="B50" s="41"/>
      <c r="C50" s="192"/>
      <c r="D50" s="193"/>
      <c r="E50" s="194"/>
      <c r="F50" s="174"/>
      <c r="G50" s="195"/>
      <c r="H50" s="117" t="str">
        <f t="shared" si="20"/>
        <v/>
      </c>
      <c r="I50" s="117" t="str">
        <f t="shared" si="21"/>
        <v/>
      </c>
      <c r="J50" s="195"/>
      <c r="K50" s="195"/>
      <c r="L50" s="195"/>
      <c r="M50" s="195"/>
      <c r="N50" s="179"/>
      <c r="O50" s="195"/>
      <c r="P50" s="176" t="str">
        <f t="shared" si="22"/>
        <v/>
      </c>
      <c r="Q50" s="176" t="str">
        <f t="shared" si="23"/>
        <v/>
      </c>
      <c r="R50" s="117"/>
      <c r="S50" s="196"/>
      <c r="T50" s="40" t="str">
        <f t="shared" si="24"/>
        <v/>
      </c>
      <c r="U50" s="196"/>
      <c r="V50" s="40" t="str">
        <f t="shared" si="25"/>
        <v/>
      </c>
      <c r="W50" s="177" t="str">
        <f t="shared" si="26"/>
        <v/>
      </c>
      <c r="X50" s="178" t="str">
        <f t="shared" si="27"/>
        <v/>
      </c>
      <c r="Z50" s="229"/>
      <c r="AA50" s="341"/>
    </row>
    <row r="51" spans="1:27" x14ac:dyDescent="0.25">
      <c r="A51" s="51"/>
      <c r="B51" s="41"/>
      <c r="C51" s="192"/>
      <c r="D51" s="193"/>
      <c r="E51" s="194"/>
      <c r="F51" s="174"/>
      <c r="G51" s="195"/>
      <c r="H51" s="117" t="str">
        <f t="shared" si="20"/>
        <v/>
      </c>
      <c r="I51" s="117" t="str">
        <f t="shared" si="21"/>
        <v/>
      </c>
      <c r="J51" s="195"/>
      <c r="K51" s="195"/>
      <c r="L51" s="195"/>
      <c r="M51" s="195"/>
      <c r="N51" s="179"/>
      <c r="O51" s="195"/>
      <c r="P51" s="176" t="str">
        <f t="shared" si="22"/>
        <v/>
      </c>
      <c r="Q51" s="176" t="str">
        <f t="shared" si="23"/>
        <v/>
      </c>
      <c r="R51" s="117"/>
      <c r="S51" s="196"/>
      <c r="T51" s="40" t="str">
        <f t="shared" si="24"/>
        <v/>
      </c>
      <c r="U51" s="196"/>
      <c r="V51" s="40" t="str">
        <f t="shared" si="25"/>
        <v/>
      </c>
      <c r="W51" s="177" t="str">
        <f t="shared" si="26"/>
        <v/>
      </c>
      <c r="X51" s="178" t="str">
        <f t="shared" si="27"/>
        <v/>
      </c>
      <c r="Z51" s="229"/>
      <c r="AA51" s="341"/>
    </row>
    <row r="52" spans="1:27" x14ac:dyDescent="0.25">
      <c r="A52" s="51"/>
      <c r="B52" s="41"/>
      <c r="C52" s="192"/>
      <c r="D52" s="193"/>
      <c r="E52" s="194"/>
      <c r="F52" s="174"/>
      <c r="G52" s="195"/>
      <c r="H52" s="117" t="str">
        <f t="shared" si="20"/>
        <v/>
      </c>
      <c r="I52" s="117" t="str">
        <f t="shared" si="21"/>
        <v/>
      </c>
      <c r="J52" s="195"/>
      <c r="K52" s="195"/>
      <c r="L52" s="195"/>
      <c r="M52" s="195"/>
      <c r="N52" s="179"/>
      <c r="O52" s="195"/>
      <c r="P52" s="176" t="str">
        <f t="shared" si="22"/>
        <v/>
      </c>
      <c r="Q52" s="176" t="str">
        <f t="shared" si="23"/>
        <v/>
      </c>
      <c r="R52" s="117"/>
      <c r="S52" s="196"/>
      <c r="T52" s="40" t="str">
        <f t="shared" si="24"/>
        <v/>
      </c>
      <c r="U52" s="196"/>
      <c r="V52" s="40" t="str">
        <f t="shared" si="25"/>
        <v/>
      </c>
      <c r="W52" s="177" t="str">
        <f t="shared" si="26"/>
        <v/>
      </c>
      <c r="X52" s="178" t="str">
        <f t="shared" si="27"/>
        <v/>
      </c>
      <c r="Z52" s="229"/>
      <c r="AA52" s="341"/>
    </row>
    <row r="53" spans="1:27" x14ac:dyDescent="0.25">
      <c r="A53" s="51"/>
      <c r="B53" s="41"/>
      <c r="C53" s="192"/>
      <c r="D53" s="193"/>
      <c r="E53" s="194"/>
      <c r="F53" s="174"/>
      <c r="G53" s="195"/>
      <c r="H53" s="117" t="str">
        <f t="shared" si="20"/>
        <v/>
      </c>
      <c r="I53" s="117" t="str">
        <f t="shared" si="21"/>
        <v/>
      </c>
      <c r="J53" s="195"/>
      <c r="K53" s="195"/>
      <c r="L53" s="195"/>
      <c r="M53" s="195"/>
      <c r="N53" s="179"/>
      <c r="O53" s="195"/>
      <c r="P53" s="176" t="str">
        <f t="shared" si="22"/>
        <v/>
      </c>
      <c r="Q53" s="176" t="str">
        <f t="shared" si="23"/>
        <v/>
      </c>
      <c r="R53" s="117"/>
      <c r="S53" s="196"/>
      <c r="T53" s="40" t="str">
        <f t="shared" si="24"/>
        <v/>
      </c>
      <c r="U53" s="196"/>
      <c r="V53" s="40" t="str">
        <f t="shared" si="25"/>
        <v/>
      </c>
      <c r="W53" s="177" t="str">
        <f t="shared" si="26"/>
        <v/>
      </c>
      <c r="X53" s="178" t="str">
        <f t="shared" si="27"/>
        <v/>
      </c>
      <c r="Z53" s="229"/>
      <c r="AA53" s="341"/>
    </row>
    <row r="54" spans="1:27" x14ac:dyDescent="0.25">
      <c r="A54" s="51"/>
      <c r="B54" s="41"/>
      <c r="C54" s="192"/>
      <c r="D54" s="193"/>
      <c r="E54" s="194"/>
      <c r="F54" s="174"/>
      <c r="G54" s="195"/>
      <c r="H54" s="117" t="str">
        <f t="shared" si="20"/>
        <v/>
      </c>
      <c r="I54" s="117" t="str">
        <f t="shared" si="21"/>
        <v/>
      </c>
      <c r="J54" s="195"/>
      <c r="K54" s="195"/>
      <c r="L54" s="195"/>
      <c r="M54" s="195"/>
      <c r="N54" s="179"/>
      <c r="O54" s="195"/>
      <c r="P54" s="176" t="str">
        <f t="shared" si="22"/>
        <v/>
      </c>
      <c r="Q54" s="176" t="str">
        <f t="shared" si="23"/>
        <v/>
      </c>
      <c r="R54" s="117"/>
      <c r="S54" s="196"/>
      <c r="T54" s="40" t="str">
        <f t="shared" si="24"/>
        <v/>
      </c>
      <c r="U54" s="196"/>
      <c r="V54" s="40" t="str">
        <f t="shared" si="25"/>
        <v/>
      </c>
      <c r="W54" s="177" t="str">
        <f t="shared" si="26"/>
        <v/>
      </c>
      <c r="X54" s="178" t="str">
        <f t="shared" si="27"/>
        <v/>
      </c>
      <c r="Z54" s="229"/>
      <c r="AA54" s="341"/>
    </row>
    <row r="55" spans="1:27" x14ac:dyDescent="0.25">
      <c r="A55" s="51"/>
      <c r="B55" s="41"/>
      <c r="C55" s="192"/>
      <c r="D55" s="193"/>
      <c r="E55" s="194"/>
      <c r="F55" s="174"/>
      <c r="G55" s="195"/>
      <c r="H55" s="117" t="str">
        <f t="shared" si="20"/>
        <v/>
      </c>
      <c r="I55" s="117" t="str">
        <f t="shared" si="21"/>
        <v/>
      </c>
      <c r="J55" s="195"/>
      <c r="K55" s="195"/>
      <c r="L55" s="195"/>
      <c r="M55" s="195"/>
      <c r="N55" s="179"/>
      <c r="O55" s="195"/>
      <c r="P55" s="176" t="str">
        <f t="shared" si="22"/>
        <v/>
      </c>
      <c r="Q55" s="176" t="str">
        <f t="shared" si="23"/>
        <v/>
      </c>
      <c r="R55" s="117"/>
      <c r="S55" s="196"/>
      <c r="T55" s="40" t="str">
        <f t="shared" si="24"/>
        <v/>
      </c>
      <c r="U55" s="196"/>
      <c r="V55" s="40" t="str">
        <f t="shared" si="25"/>
        <v/>
      </c>
      <c r="W55" s="177" t="str">
        <f t="shared" si="26"/>
        <v/>
      </c>
      <c r="X55" s="178" t="str">
        <f t="shared" si="27"/>
        <v/>
      </c>
      <c r="Z55" s="229"/>
      <c r="AA55" s="341"/>
    </row>
    <row r="56" spans="1:27" x14ac:dyDescent="0.25">
      <c r="A56" s="41" t="str">
        <f>IF('PK Zusammenfassung'!A99=0,"",'PK Zusammenfassung'!A99)</f>
        <v>MiniJob</v>
      </c>
      <c r="B56" s="41"/>
      <c r="C56" s="192"/>
      <c r="D56" s="193"/>
      <c r="E56" s="194"/>
      <c r="F56" s="174"/>
      <c r="G56" s="195"/>
      <c r="H56" s="179"/>
      <c r="I56" s="117" t="str">
        <f t="shared" si="21"/>
        <v/>
      </c>
      <c r="J56" s="179"/>
      <c r="K56" s="179"/>
      <c r="L56" s="179"/>
      <c r="M56" s="179"/>
      <c r="N56" s="179"/>
      <c r="O56" s="179"/>
      <c r="P56" s="176" t="str">
        <f t="shared" si="22"/>
        <v/>
      </c>
      <c r="Q56" s="176" t="str">
        <f t="shared" si="23"/>
        <v/>
      </c>
      <c r="R56" s="117"/>
      <c r="S56" s="179"/>
      <c r="T56" s="179"/>
      <c r="U56" s="179"/>
      <c r="V56" s="179"/>
      <c r="W56" s="177" t="str">
        <f t="shared" si="26"/>
        <v/>
      </c>
      <c r="X56" s="178" t="str">
        <f t="shared" si="27"/>
        <v/>
      </c>
      <c r="Z56" s="229"/>
      <c r="AA56" s="341"/>
    </row>
    <row r="57" spans="1:27" x14ac:dyDescent="0.25">
      <c r="A57" s="180"/>
      <c r="B57" s="180"/>
      <c r="C57" s="186"/>
      <c r="D57" s="187"/>
      <c r="E57" s="188"/>
      <c r="F57" s="188"/>
      <c r="G57" s="188"/>
      <c r="H57" s="188"/>
      <c r="I57" s="189"/>
      <c r="J57" s="189"/>
      <c r="K57" s="189"/>
      <c r="L57" s="189"/>
      <c r="M57" s="189"/>
      <c r="N57" s="189"/>
      <c r="O57" s="189"/>
      <c r="P57" s="189"/>
      <c r="Q57" s="189"/>
      <c r="R57" s="189"/>
      <c r="S57" s="190"/>
      <c r="T57" s="182"/>
      <c r="U57" s="190"/>
      <c r="V57" s="182"/>
      <c r="W57" s="182"/>
      <c r="X57" s="184"/>
    </row>
  </sheetData>
  <sheetProtection algorithmName="SHA-512" hashValue="kGSub1IVJhPkPtso5AlkqECaF944XZQjUynimVVdpbNybST7v8DWYGAN6nDOeEvMoKYmitsuBK0Cb8gx8BS5wA==" saltValue="ZERrtE5kG7rxBTg089MhVQ==" spinCount="100000" sheet="1" objects="1" scenarios="1" formatCells="0"/>
  <mergeCells count="18">
    <mergeCell ref="A6:A7"/>
    <mergeCell ref="C6:C7"/>
    <mergeCell ref="D6:D7"/>
    <mergeCell ref="E6:E7"/>
    <mergeCell ref="G6:G7"/>
    <mergeCell ref="B6:B7"/>
    <mergeCell ref="I6:I7"/>
    <mergeCell ref="S6:T6"/>
    <mergeCell ref="U6:V6"/>
    <mergeCell ref="W6:W7"/>
    <mergeCell ref="X6:X7"/>
    <mergeCell ref="J6:J7"/>
    <mergeCell ref="L6:L7"/>
    <mergeCell ref="M6:M7"/>
    <mergeCell ref="N6:N7"/>
    <mergeCell ref="P6:P7"/>
    <mergeCell ref="Q6:Q7"/>
    <mergeCell ref="K6:K7"/>
  </mergeCells>
  <dataValidations count="3">
    <dataValidation type="list" allowBlank="1" showInputMessage="1" showErrorMessage="1" sqref="B10:B39" xr:uid="{00000000-0002-0000-0200-000000000000}">
      <formula1>"Fachkraft, qualifizierte Hilfskraft"</formula1>
    </dataValidation>
    <dataValidation type="whole" operator="lessThan" allowBlank="1" showInputMessage="1" showErrorMessage="1" sqref="E10" xr:uid="{00000000-0002-0000-0200-000001000000}">
      <formula1>100</formula1>
    </dataValidation>
    <dataValidation type="whole" operator="lessThan" allowBlank="1" showInputMessage="1" showErrorMessage="1" error="Es können nur ganze Zahlen eingegeben werden." sqref="E11:E43 E46:E56" xr:uid="{00000000-0002-0000-0200-000002000000}">
      <formula1>100</formula1>
    </dataValidation>
  </dataValidations>
  <pageMargins left="0.7" right="0.7" top="0.78740157499999996" bottom="0.78740157499999996" header="0.3" footer="0.3"/>
  <pageSetup paperSize="9" scale="91" orientation="landscape" r:id="rId1"/>
  <headerFooter>
    <oddFooter>&amp;L&amp;"Arial,Standard"&amp;8Datum des Ausdrucks
&amp;D&amp;C&amp;"Arial,Standard"&amp;8Kalkulationsdatei Assistenzleistungen 
Rahmenvertrag 3 Version 1.0&amp;R&amp;"Arial,Standard"&amp;8 PK AN-Brutto qA
Seite &amp;P von &amp;N</oddFooter>
  </headerFooter>
  <colBreaks count="2" manualBreakCount="2">
    <brk id="11" max="1048575" man="1"/>
    <brk id="24"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Z44"/>
  <sheetViews>
    <sheetView showGridLines="0" zoomScaleNormal="100" workbookViewId="0">
      <pane ySplit="7" topLeftCell="A8" activePane="bottomLeft" state="frozen"/>
      <selection activeCell="L1" sqref="L1"/>
      <selection pane="bottomLeft" activeCell="T10" sqref="T10:T13"/>
    </sheetView>
  </sheetViews>
  <sheetFormatPr baseColWidth="10" defaultColWidth="11.44140625" defaultRowHeight="13.2" x14ac:dyDescent="0.25"/>
  <cols>
    <col min="1" max="1" width="21.44140625" style="1" customWidth="1"/>
    <col min="2" max="4" width="11.44140625" style="1"/>
    <col min="5" max="5" width="1.109375" style="1" customWidth="1"/>
    <col min="6" max="6" width="11.88671875" style="1" customWidth="1"/>
    <col min="7" max="15" width="11.44140625" style="1"/>
    <col min="16" max="16" width="13.5546875" style="1" customWidth="1"/>
    <col min="17" max="17" width="1.33203125" style="1" customWidth="1"/>
    <col min="18" max="21" width="11.44140625" style="1"/>
    <col min="22" max="22" width="12.109375" style="1" customWidth="1"/>
    <col min="23" max="23" width="12.6640625" style="1" customWidth="1"/>
    <col min="24" max="24" width="4.5546875" style="1" customWidth="1"/>
    <col min="25" max="26" width="26.6640625" style="1" customWidth="1"/>
    <col min="27" max="16384" width="11.44140625" style="1"/>
  </cols>
  <sheetData>
    <row r="1" spans="1:26" x14ac:dyDescent="0.25">
      <c r="A1" s="3"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row>
    <row r="3" spans="1:26" x14ac:dyDescent="0.25">
      <c r="A3" s="1" t="s">
        <v>131</v>
      </c>
      <c r="B3" s="197"/>
      <c r="C3" s="198"/>
      <c r="D3" s="199"/>
      <c r="E3" s="199"/>
      <c r="F3" s="199"/>
      <c r="G3" s="199"/>
      <c r="H3" s="200"/>
      <c r="I3" s="201"/>
      <c r="J3" s="200"/>
      <c r="K3" s="200"/>
      <c r="L3" s="200"/>
      <c r="M3" s="200"/>
      <c r="N3" s="200"/>
      <c r="O3" s="200"/>
      <c r="P3" s="200"/>
      <c r="Q3" s="200"/>
      <c r="S3" s="34"/>
      <c r="U3" s="34"/>
      <c r="W3" s="202"/>
    </row>
    <row r="4" spans="1:26" x14ac:dyDescent="0.25">
      <c r="A4" s="1" t="s">
        <v>130</v>
      </c>
      <c r="B4" s="197"/>
      <c r="C4" s="198"/>
      <c r="D4" s="199"/>
      <c r="E4" s="199"/>
      <c r="F4" s="199"/>
      <c r="G4" s="199"/>
      <c r="H4" s="200"/>
      <c r="I4" s="201"/>
      <c r="J4" s="200"/>
      <c r="K4" s="200"/>
      <c r="L4" s="200"/>
      <c r="M4" s="200"/>
      <c r="N4" s="200"/>
      <c r="O4" s="200"/>
      <c r="P4" s="200"/>
      <c r="Q4" s="200"/>
      <c r="S4" s="34"/>
      <c r="U4" s="34"/>
      <c r="W4" s="202"/>
    </row>
    <row r="5" spans="1:26" x14ac:dyDescent="0.25">
      <c r="B5" s="197"/>
      <c r="C5" s="198"/>
      <c r="D5" s="199"/>
      <c r="E5" s="199"/>
      <c r="F5" s="199"/>
      <c r="G5" s="199"/>
      <c r="H5" s="200"/>
      <c r="I5" s="200"/>
      <c r="J5" s="200"/>
      <c r="K5" s="200"/>
      <c r="L5" s="200"/>
      <c r="M5" s="200"/>
      <c r="N5" s="200"/>
      <c r="O5" s="200"/>
      <c r="P5" s="200"/>
      <c r="Q5" s="200"/>
      <c r="S5" s="34"/>
      <c r="U5" s="34"/>
      <c r="W5" s="202"/>
    </row>
    <row r="6" spans="1:26" ht="52.8" x14ac:dyDescent="0.25">
      <c r="A6" s="492" t="s">
        <v>231</v>
      </c>
      <c r="B6" s="509" t="s">
        <v>254</v>
      </c>
      <c r="C6" s="509" t="s">
        <v>232</v>
      </c>
      <c r="D6" s="511" t="s">
        <v>91</v>
      </c>
      <c r="E6" s="145"/>
      <c r="F6" s="503" t="s">
        <v>255</v>
      </c>
      <c r="G6" s="145" t="s">
        <v>256</v>
      </c>
      <c r="H6" s="503" t="s">
        <v>257</v>
      </c>
      <c r="I6" s="503" t="s">
        <v>258</v>
      </c>
      <c r="J6" s="503" t="s">
        <v>259</v>
      </c>
      <c r="K6" s="503" t="s">
        <v>260</v>
      </c>
      <c r="L6" s="503" t="s">
        <v>261</v>
      </c>
      <c r="M6" s="503" t="s">
        <v>262</v>
      </c>
      <c r="N6" s="146" t="s">
        <v>263</v>
      </c>
      <c r="O6" s="507" t="s">
        <v>264</v>
      </c>
      <c r="P6" s="503" t="s">
        <v>265</v>
      </c>
      <c r="Q6" s="147"/>
      <c r="R6" s="477" t="s">
        <v>266</v>
      </c>
      <c r="S6" s="477"/>
      <c r="T6" s="477" t="s">
        <v>90</v>
      </c>
      <c r="U6" s="477"/>
      <c r="V6" s="490" t="s">
        <v>267</v>
      </c>
      <c r="W6" s="505" t="s">
        <v>268</v>
      </c>
      <c r="Y6" s="228" t="s">
        <v>241</v>
      </c>
      <c r="Z6" s="228" t="s">
        <v>242</v>
      </c>
    </row>
    <row r="7" spans="1:26" x14ac:dyDescent="0.25">
      <c r="A7" s="493"/>
      <c r="B7" s="510"/>
      <c r="C7" s="510"/>
      <c r="D7" s="512"/>
      <c r="E7" s="148"/>
      <c r="F7" s="504"/>
      <c r="G7" s="289"/>
      <c r="H7" s="504"/>
      <c r="I7" s="504"/>
      <c r="J7" s="504"/>
      <c r="K7" s="504"/>
      <c r="L7" s="504"/>
      <c r="M7" s="504"/>
      <c r="N7" s="149">
        <v>6.65</v>
      </c>
      <c r="O7" s="508"/>
      <c r="P7" s="504"/>
      <c r="Q7" s="150"/>
      <c r="R7" s="151" t="s">
        <v>92</v>
      </c>
      <c r="S7" s="152" t="s">
        <v>69</v>
      </c>
      <c r="T7" s="151" t="s">
        <v>92</v>
      </c>
      <c r="U7" s="152" t="s">
        <v>69</v>
      </c>
      <c r="V7" s="490"/>
      <c r="W7" s="506"/>
    </row>
    <row r="8" spans="1:26" x14ac:dyDescent="0.25">
      <c r="A8" s="153"/>
      <c r="B8" s="154"/>
      <c r="C8" s="154"/>
      <c r="D8" s="155"/>
      <c r="E8" s="155"/>
      <c r="F8" s="156"/>
      <c r="G8" s="157"/>
      <c r="H8" s="156"/>
      <c r="I8" s="156"/>
      <c r="J8" s="156"/>
      <c r="K8" s="156"/>
      <c r="L8" s="156"/>
      <c r="M8" s="156"/>
      <c r="N8" s="156"/>
      <c r="O8" s="156"/>
      <c r="P8" s="158"/>
      <c r="Q8" s="158"/>
      <c r="R8" s="159"/>
      <c r="S8" s="160"/>
      <c r="T8" s="161"/>
      <c r="U8" s="160"/>
      <c r="V8" s="162"/>
      <c r="W8" s="163"/>
    </row>
    <row r="9" spans="1:26" x14ac:dyDescent="0.25">
      <c r="A9" s="164" t="s">
        <v>53</v>
      </c>
      <c r="B9" s="165"/>
      <c r="C9" s="166"/>
      <c r="D9" s="167"/>
      <c r="E9" s="167"/>
      <c r="F9" s="167"/>
      <c r="G9" s="167"/>
      <c r="H9" s="168"/>
      <c r="I9" s="168"/>
      <c r="J9" s="168"/>
      <c r="K9" s="168"/>
      <c r="L9" s="168"/>
      <c r="M9" s="168"/>
      <c r="N9" s="168"/>
      <c r="O9" s="168"/>
      <c r="P9" s="169"/>
      <c r="Q9" s="170"/>
      <c r="R9" s="171"/>
      <c r="S9" s="172"/>
      <c r="T9" s="171"/>
      <c r="U9" s="172"/>
      <c r="V9" s="171"/>
      <c r="W9" s="173"/>
    </row>
    <row r="10" spans="1:26" x14ac:dyDescent="0.25">
      <c r="A10" s="290"/>
      <c r="B10" s="291"/>
      <c r="C10" s="292"/>
      <c r="D10" s="293"/>
      <c r="E10" s="174"/>
      <c r="F10" s="294"/>
      <c r="G10" s="117" t="str">
        <f t="shared" ref="G10:G13" si="0">IF($G$7=0,"",IF(F10&gt;0,ROUND(F10*$G$7,2),""))</f>
        <v/>
      </c>
      <c r="H10" s="117" t="str">
        <f t="shared" ref="H10:H44" si="1">IF(F10&gt;0,F10+IF(G10="",0,G10),"")</f>
        <v/>
      </c>
      <c r="I10" s="294"/>
      <c r="J10" s="294"/>
      <c r="K10" s="294"/>
      <c r="L10" s="294"/>
      <c r="M10" s="175" t="str">
        <f>IF(H10="","",'PK Zeitzuschläge kA'!$N$38)</f>
        <v/>
      </c>
      <c r="N10" s="294"/>
      <c r="O10" s="176" t="str">
        <f t="shared" ref="O10:O42" si="2">IF(SUM(H10:N10)=0,"",SUM(H10:N10))</f>
        <v/>
      </c>
      <c r="P10" s="176" t="str">
        <f t="shared" ref="P10:P42" si="3">IF(O10="","",ROUND(O10*12,2))</f>
        <v/>
      </c>
      <c r="Q10" s="117"/>
      <c r="R10" s="296"/>
      <c r="S10" s="40" t="str">
        <f t="shared" ref="S10:S41" si="4">IF(R10="","",ROUND(R10*(O10-N10),2))</f>
        <v/>
      </c>
      <c r="T10" s="296"/>
      <c r="U10" s="40" t="str">
        <f t="shared" ref="U10:U41" si="5">IF(T10&gt;0,ROUND((P10-N10*12)*T10,2),"")</f>
        <v/>
      </c>
      <c r="V10" s="177" t="str">
        <f t="shared" ref="V10:V42" si="6">IF(SUM(U10,S10,P10)&gt;0,SUM(U10,S10,P10),"")</f>
        <v/>
      </c>
      <c r="W10" s="178" t="str">
        <f t="shared" ref="W10:W42" si="7">IF(V10="","",ROUND(V10/12,2))</f>
        <v/>
      </c>
      <c r="Y10" s="343"/>
      <c r="Z10" s="341"/>
    </row>
    <row r="11" spans="1:26" x14ac:dyDescent="0.25">
      <c r="A11" s="290"/>
      <c r="B11" s="291"/>
      <c r="C11" s="292"/>
      <c r="D11" s="293"/>
      <c r="E11" s="174"/>
      <c r="F11" s="295"/>
      <c r="G11" s="117" t="str">
        <f t="shared" si="0"/>
        <v/>
      </c>
      <c r="H11" s="117" t="str">
        <f t="shared" si="1"/>
        <v/>
      </c>
      <c r="I11" s="294"/>
      <c r="J11" s="294"/>
      <c r="K11" s="294"/>
      <c r="L11" s="294"/>
      <c r="M11" s="175" t="str">
        <f>IF(H11="","",'PK Zeitzuschläge kA'!$N$38)</f>
        <v/>
      </c>
      <c r="N11" s="294"/>
      <c r="O11" s="176" t="str">
        <f t="shared" si="2"/>
        <v/>
      </c>
      <c r="P11" s="176" t="str">
        <f t="shared" si="3"/>
        <v/>
      </c>
      <c r="Q11" s="117"/>
      <c r="R11" s="296"/>
      <c r="S11" s="40" t="str">
        <f t="shared" si="4"/>
        <v/>
      </c>
      <c r="T11" s="296"/>
      <c r="U11" s="40" t="str">
        <f t="shared" si="5"/>
        <v/>
      </c>
      <c r="V11" s="177" t="str">
        <f t="shared" si="6"/>
        <v/>
      </c>
      <c r="W11" s="178" t="str">
        <f t="shared" si="7"/>
        <v/>
      </c>
      <c r="Y11" s="343"/>
      <c r="Z11" s="341"/>
    </row>
    <row r="12" spans="1:26" x14ac:dyDescent="0.25">
      <c r="A12" s="290"/>
      <c r="B12" s="291"/>
      <c r="C12" s="292"/>
      <c r="D12" s="293"/>
      <c r="E12" s="174"/>
      <c r="F12" s="294"/>
      <c r="G12" s="117" t="str">
        <f t="shared" si="0"/>
        <v/>
      </c>
      <c r="H12" s="117" t="str">
        <f t="shared" si="1"/>
        <v/>
      </c>
      <c r="I12" s="294"/>
      <c r="J12" s="294"/>
      <c r="K12" s="294"/>
      <c r="L12" s="294"/>
      <c r="M12" s="175" t="str">
        <f>IF(H12="","",'PK Zeitzuschläge kA'!$N$38)</f>
        <v/>
      </c>
      <c r="N12" s="294"/>
      <c r="O12" s="176" t="str">
        <f t="shared" si="2"/>
        <v/>
      </c>
      <c r="P12" s="176" t="str">
        <f t="shared" si="3"/>
        <v/>
      </c>
      <c r="Q12" s="117"/>
      <c r="R12" s="296"/>
      <c r="S12" s="40" t="str">
        <f t="shared" si="4"/>
        <v/>
      </c>
      <c r="T12" s="296"/>
      <c r="U12" s="40" t="str">
        <f t="shared" si="5"/>
        <v/>
      </c>
      <c r="V12" s="177" t="str">
        <f t="shared" si="6"/>
        <v/>
      </c>
      <c r="W12" s="178" t="str">
        <f t="shared" si="7"/>
        <v/>
      </c>
      <c r="Y12" s="343"/>
      <c r="Z12" s="341"/>
    </row>
    <row r="13" spans="1:26" x14ac:dyDescent="0.25">
      <c r="A13" s="290"/>
      <c r="B13" s="291"/>
      <c r="C13" s="292"/>
      <c r="D13" s="293"/>
      <c r="E13" s="174"/>
      <c r="F13" s="294"/>
      <c r="G13" s="117" t="str">
        <f t="shared" si="0"/>
        <v/>
      </c>
      <c r="H13" s="117" t="str">
        <f t="shared" si="1"/>
        <v/>
      </c>
      <c r="I13" s="294"/>
      <c r="J13" s="294"/>
      <c r="K13" s="294"/>
      <c r="L13" s="294"/>
      <c r="M13" s="175" t="str">
        <f>IF(H13="","",'PK Zeitzuschläge kA'!$N$38)</f>
        <v/>
      </c>
      <c r="N13" s="294"/>
      <c r="O13" s="176" t="str">
        <f t="shared" si="2"/>
        <v/>
      </c>
      <c r="P13" s="176" t="str">
        <f t="shared" si="3"/>
        <v/>
      </c>
      <c r="Q13" s="117"/>
      <c r="R13" s="296"/>
      <c r="S13" s="40" t="str">
        <f t="shared" si="4"/>
        <v/>
      </c>
      <c r="T13" s="296"/>
      <c r="U13" s="40" t="str">
        <f t="shared" si="5"/>
        <v/>
      </c>
      <c r="V13" s="177" t="str">
        <f t="shared" si="6"/>
        <v/>
      </c>
      <c r="W13" s="178" t="str">
        <f t="shared" si="7"/>
        <v/>
      </c>
      <c r="Y13" s="343"/>
      <c r="Z13" s="341"/>
    </row>
    <row r="14" spans="1:26" x14ac:dyDescent="0.25">
      <c r="A14" s="290"/>
      <c r="B14" s="291"/>
      <c r="C14" s="292"/>
      <c r="D14" s="293"/>
      <c r="E14" s="174"/>
      <c r="F14" s="294"/>
      <c r="G14" s="117" t="str">
        <f t="shared" ref="G14:G37" si="8">IF($G$7=0,"",IF(F14&gt;0,ROUND(F14*$G$7,2),""))</f>
        <v/>
      </c>
      <c r="H14" s="117" t="str">
        <f t="shared" ref="H14:H37" si="9">IF(F14&gt;0,F14+IF(G14="",0,G14),"")</f>
        <v/>
      </c>
      <c r="I14" s="294"/>
      <c r="J14" s="294"/>
      <c r="K14" s="294"/>
      <c r="L14" s="294"/>
      <c r="M14" s="175" t="str">
        <f>IF(H14="","",'PK Zeitzuschläge kA'!$N$38)</f>
        <v/>
      </c>
      <c r="N14" s="294"/>
      <c r="O14" s="176" t="str">
        <f t="shared" ref="O14:O37" si="10">IF(SUM(H14:N14)=0,"",SUM(H14:N14))</f>
        <v/>
      </c>
      <c r="P14" s="176" t="str">
        <f t="shared" ref="P14:P37" si="11">IF(O14="","",ROUND(O14*12,2))</f>
        <v/>
      </c>
      <c r="Q14" s="117"/>
      <c r="R14" s="296"/>
      <c r="S14" s="40" t="str">
        <f t="shared" si="4"/>
        <v/>
      </c>
      <c r="T14" s="296"/>
      <c r="U14" s="40" t="str">
        <f t="shared" si="5"/>
        <v/>
      </c>
      <c r="V14" s="177" t="str">
        <f t="shared" ref="V14:V37" si="12">IF(SUM(U14,S14,P14)&gt;0,SUM(U14,S14,P14),"")</f>
        <v/>
      </c>
      <c r="W14" s="178" t="str">
        <f t="shared" ref="W14:W37" si="13">IF(V14="","",ROUND(V14/12,2))</f>
        <v/>
      </c>
      <c r="Y14" s="343"/>
      <c r="Z14" s="341"/>
    </row>
    <row r="15" spans="1:26" x14ac:dyDescent="0.25">
      <c r="A15" s="290"/>
      <c r="B15" s="291"/>
      <c r="C15" s="292"/>
      <c r="D15" s="293"/>
      <c r="E15" s="174"/>
      <c r="F15" s="294"/>
      <c r="G15" s="117" t="str">
        <f t="shared" si="8"/>
        <v/>
      </c>
      <c r="H15" s="117" t="str">
        <f t="shared" si="9"/>
        <v/>
      </c>
      <c r="I15" s="294"/>
      <c r="J15" s="294"/>
      <c r="K15" s="294"/>
      <c r="L15" s="294"/>
      <c r="M15" s="175" t="str">
        <f>IF(H15="","",'PK Zeitzuschläge kA'!$N$38)</f>
        <v/>
      </c>
      <c r="N15" s="294"/>
      <c r="O15" s="176" t="str">
        <f t="shared" si="10"/>
        <v/>
      </c>
      <c r="P15" s="176" t="str">
        <f t="shared" si="11"/>
        <v/>
      </c>
      <c r="Q15" s="117"/>
      <c r="R15" s="296"/>
      <c r="S15" s="40" t="str">
        <f t="shared" si="4"/>
        <v/>
      </c>
      <c r="T15" s="296"/>
      <c r="U15" s="40" t="str">
        <f t="shared" si="5"/>
        <v/>
      </c>
      <c r="V15" s="177" t="str">
        <f t="shared" si="12"/>
        <v/>
      </c>
      <c r="W15" s="178" t="str">
        <f t="shared" si="13"/>
        <v/>
      </c>
      <c r="Y15" s="343"/>
      <c r="Z15" s="341"/>
    </row>
    <row r="16" spans="1:26" x14ac:dyDescent="0.25">
      <c r="A16" s="290"/>
      <c r="B16" s="291"/>
      <c r="C16" s="292"/>
      <c r="D16" s="293"/>
      <c r="E16" s="174"/>
      <c r="F16" s="294"/>
      <c r="G16" s="117" t="str">
        <f t="shared" si="8"/>
        <v/>
      </c>
      <c r="H16" s="117" t="str">
        <f t="shared" si="9"/>
        <v/>
      </c>
      <c r="I16" s="294"/>
      <c r="J16" s="294"/>
      <c r="K16" s="294"/>
      <c r="L16" s="294"/>
      <c r="M16" s="175" t="str">
        <f>IF(H16="","",'PK Zeitzuschläge kA'!$N$38)</f>
        <v/>
      </c>
      <c r="N16" s="294"/>
      <c r="O16" s="176" t="str">
        <f t="shared" si="10"/>
        <v/>
      </c>
      <c r="P16" s="176" t="str">
        <f t="shared" si="11"/>
        <v/>
      </c>
      <c r="Q16" s="117"/>
      <c r="R16" s="296"/>
      <c r="S16" s="40" t="str">
        <f t="shared" si="4"/>
        <v/>
      </c>
      <c r="T16" s="296"/>
      <c r="U16" s="40" t="str">
        <f t="shared" si="5"/>
        <v/>
      </c>
      <c r="V16" s="177" t="str">
        <f t="shared" si="12"/>
        <v/>
      </c>
      <c r="W16" s="178" t="str">
        <f t="shared" si="13"/>
        <v/>
      </c>
      <c r="Y16" s="343"/>
      <c r="Z16" s="341"/>
    </row>
    <row r="17" spans="1:26" x14ac:dyDescent="0.25">
      <c r="A17" s="290"/>
      <c r="B17" s="291"/>
      <c r="C17" s="292"/>
      <c r="D17" s="293"/>
      <c r="E17" s="174"/>
      <c r="F17" s="294"/>
      <c r="G17" s="117" t="str">
        <f t="shared" si="8"/>
        <v/>
      </c>
      <c r="H17" s="117" t="str">
        <f t="shared" si="9"/>
        <v/>
      </c>
      <c r="I17" s="294"/>
      <c r="J17" s="294"/>
      <c r="K17" s="294"/>
      <c r="L17" s="294"/>
      <c r="M17" s="175" t="str">
        <f>IF(H17="","",'PK Zeitzuschläge kA'!$N$38)</f>
        <v/>
      </c>
      <c r="N17" s="294"/>
      <c r="O17" s="176" t="str">
        <f t="shared" si="10"/>
        <v/>
      </c>
      <c r="P17" s="176" t="str">
        <f t="shared" si="11"/>
        <v/>
      </c>
      <c r="Q17" s="117"/>
      <c r="R17" s="296"/>
      <c r="S17" s="40" t="str">
        <f t="shared" si="4"/>
        <v/>
      </c>
      <c r="T17" s="296"/>
      <c r="U17" s="40" t="str">
        <f t="shared" si="5"/>
        <v/>
      </c>
      <c r="V17" s="177" t="str">
        <f t="shared" si="12"/>
        <v/>
      </c>
      <c r="W17" s="178" t="str">
        <f t="shared" si="13"/>
        <v/>
      </c>
      <c r="Y17" s="343"/>
      <c r="Z17" s="341"/>
    </row>
    <row r="18" spans="1:26" x14ac:dyDescent="0.25">
      <c r="A18" s="290"/>
      <c r="B18" s="291"/>
      <c r="C18" s="292"/>
      <c r="D18" s="293"/>
      <c r="E18" s="174"/>
      <c r="F18" s="294"/>
      <c r="G18" s="117" t="str">
        <f t="shared" si="8"/>
        <v/>
      </c>
      <c r="H18" s="117" t="str">
        <f t="shared" si="9"/>
        <v/>
      </c>
      <c r="I18" s="294"/>
      <c r="J18" s="294"/>
      <c r="K18" s="294"/>
      <c r="L18" s="294"/>
      <c r="M18" s="175" t="str">
        <f>IF(H18="","",'PK Zeitzuschläge kA'!$N$38)</f>
        <v/>
      </c>
      <c r="N18" s="294"/>
      <c r="O18" s="176" t="str">
        <f t="shared" si="10"/>
        <v/>
      </c>
      <c r="P18" s="176" t="str">
        <f t="shared" si="11"/>
        <v/>
      </c>
      <c r="Q18" s="117"/>
      <c r="R18" s="296"/>
      <c r="S18" s="40" t="str">
        <f t="shared" si="4"/>
        <v/>
      </c>
      <c r="T18" s="296"/>
      <c r="U18" s="40" t="str">
        <f t="shared" si="5"/>
        <v/>
      </c>
      <c r="V18" s="177" t="str">
        <f t="shared" si="12"/>
        <v/>
      </c>
      <c r="W18" s="178" t="str">
        <f t="shared" si="13"/>
        <v/>
      </c>
      <c r="Y18" s="343"/>
      <c r="Z18" s="341"/>
    </row>
    <row r="19" spans="1:26" x14ac:dyDescent="0.25">
      <c r="A19" s="290"/>
      <c r="B19" s="291"/>
      <c r="C19" s="292"/>
      <c r="D19" s="293"/>
      <c r="E19" s="174"/>
      <c r="F19" s="294"/>
      <c r="G19" s="117" t="str">
        <f t="shared" si="8"/>
        <v/>
      </c>
      <c r="H19" s="117" t="str">
        <f t="shared" si="9"/>
        <v/>
      </c>
      <c r="I19" s="294"/>
      <c r="J19" s="294"/>
      <c r="K19" s="294"/>
      <c r="L19" s="294"/>
      <c r="M19" s="175" t="str">
        <f>IF(H19="","",'PK Zeitzuschläge kA'!$N$38)</f>
        <v/>
      </c>
      <c r="N19" s="294"/>
      <c r="O19" s="176" t="str">
        <f t="shared" si="10"/>
        <v/>
      </c>
      <c r="P19" s="176" t="str">
        <f t="shared" si="11"/>
        <v/>
      </c>
      <c r="Q19" s="117"/>
      <c r="R19" s="296"/>
      <c r="S19" s="40" t="str">
        <f t="shared" si="4"/>
        <v/>
      </c>
      <c r="T19" s="296"/>
      <c r="U19" s="40" t="str">
        <f t="shared" si="5"/>
        <v/>
      </c>
      <c r="V19" s="177" t="str">
        <f t="shared" si="12"/>
        <v/>
      </c>
      <c r="W19" s="178" t="str">
        <f t="shared" si="13"/>
        <v/>
      </c>
      <c r="Y19" s="343"/>
      <c r="Z19" s="341"/>
    </row>
    <row r="20" spans="1:26" x14ac:dyDescent="0.25">
      <c r="A20" s="290"/>
      <c r="B20" s="291"/>
      <c r="C20" s="292"/>
      <c r="D20" s="293"/>
      <c r="E20" s="174"/>
      <c r="F20" s="294"/>
      <c r="G20" s="117" t="str">
        <f t="shared" si="8"/>
        <v/>
      </c>
      <c r="H20" s="117" t="str">
        <f t="shared" si="9"/>
        <v/>
      </c>
      <c r="I20" s="294"/>
      <c r="J20" s="294"/>
      <c r="K20" s="294"/>
      <c r="L20" s="294"/>
      <c r="M20" s="175" t="str">
        <f>IF(H20="","",'PK Zeitzuschläge kA'!$N$38)</f>
        <v/>
      </c>
      <c r="N20" s="294"/>
      <c r="O20" s="176" t="str">
        <f t="shared" si="10"/>
        <v/>
      </c>
      <c r="P20" s="176" t="str">
        <f t="shared" si="11"/>
        <v/>
      </c>
      <c r="Q20" s="117"/>
      <c r="R20" s="296"/>
      <c r="S20" s="40" t="str">
        <f t="shared" si="4"/>
        <v/>
      </c>
      <c r="T20" s="296"/>
      <c r="U20" s="40" t="str">
        <f t="shared" si="5"/>
        <v/>
      </c>
      <c r="V20" s="177" t="str">
        <f t="shared" si="12"/>
        <v/>
      </c>
      <c r="W20" s="178" t="str">
        <f t="shared" si="13"/>
        <v/>
      </c>
      <c r="Y20" s="343"/>
      <c r="Z20" s="341"/>
    </row>
    <row r="21" spans="1:26" x14ac:dyDescent="0.25">
      <c r="A21" s="290"/>
      <c r="B21" s="291"/>
      <c r="C21" s="292"/>
      <c r="D21" s="293"/>
      <c r="E21" s="174"/>
      <c r="F21" s="294"/>
      <c r="G21" s="117" t="str">
        <f t="shared" si="8"/>
        <v/>
      </c>
      <c r="H21" s="117" t="str">
        <f t="shared" si="9"/>
        <v/>
      </c>
      <c r="I21" s="294"/>
      <c r="J21" s="294"/>
      <c r="K21" s="294"/>
      <c r="L21" s="294"/>
      <c r="M21" s="175" t="str">
        <f>IF(H21="","",'PK Zeitzuschläge kA'!$N$38)</f>
        <v/>
      </c>
      <c r="N21" s="294"/>
      <c r="O21" s="176" t="str">
        <f t="shared" si="10"/>
        <v/>
      </c>
      <c r="P21" s="176" t="str">
        <f t="shared" si="11"/>
        <v/>
      </c>
      <c r="Q21" s="117"/>
      <c r="R21" s="296"/>
      <c r="S21" s="40" t="str">
        <f t="shared" si="4"/>
        <v/>
      </c>
      <c r="T21" s="296"/>
      <c r="U21" s="40" t="str">
        <f t="shared" si="5"/>
        <v/>
      </c>
      <c r="V21" s="177" t="str">
        <f t="shared" si="12"/>
        <v/>
      </c>
      <c r="W21" s="178" t="str">
        <f t="shared" si="13"/>
        <v/>
      </c>
      <c r="Y21" s="343"/>
      <c r="Z21" s="341"/>
    </row>
    <row r="22" spans="1:26" x14ac:dyDescent="0.25">
      <c r="A22" s="290"/>
      <c r="B22" s="291"/>
      <c r="C22" s="292"/>
      <c r="D22" s="293"/>
      <c r="E22" s="174"/>
      <c r="F22" s="294"/>
      <c r="G22" s="117" t="str">
        <f t="shared" si="8"/>
        <v/>
      </c>
      <c r="H22" s="117" t="str">
        <f t="shared" si="9"/>
        <v/>
      </c>
      <c r="I22" s="294"/>
      <c r="J22" s="294"/>
      <c r="K22" s="294"/>
      <c r="L22" s="294"/>
      <c r="M22" s="175" t="str">
        <f>IF(H22="","",'PK Zeitzuschläge kA'!$N$38)</f>
        <v/>
      </c>
      <c r="N22" s="294"/>
      <c r="O22" s="176" t="str">
        <f t="shared" si="10"/>
        <v/>
      </c>
      <c r="P22" s="176" t="str">
        <f t="shared" si="11"/>
        <v/>
      </c>
      <c r="Q22" s="117"/>
      <c r="R22" s="296"/>
      <c r="S22" s="40" t="str">
        <f t="shared" si="4"/>
        <v/>
      </c>
      <c r="T22" s="296"/>
      <c r="U22" s="40" t="str">
        <f t="shared" si="5"/>
        <v/>
      </c>
      <c r="V22" s="177" t="str">
        <f t="shared" si="12"/>
        <v/>
      </c>
      <c r="W22" s="178" t="str">
        <f t="shared" si="13"/>
        <v/>
      </c>
      <c r="Y22" s="343"/>
      <c r="Z22" s="341"/>
    </row>
    <row r="23" spans="1:26" x14ac:dyDescent="0.25">
      <c r="A23" s="290"/>
      <c r="B23" s="291"/>
      <c r="C23" s="292"/>
      <c r="D23" s="293"/>
      <c r="E23" s="174"/>
      <c r="F23" s="294"/>
      <c r="G23" s="117" t="str">
        <f t="shared" si="8"/>
        <v/>
      </c>
      <c r="H23" s="117" t="str">
        <f t="shared" si="9"/>
        <v/>
      </c>
      <c r="I23" s="294"/>
      <c r="J23" s="294"/>
      <c r="K23" s="294"/>
      <c r="L23" s="294"/>
      <c r="M23" s="175" t="str">
        <f>IF(H23="","",'PK Zeitzuschläge kA'!$N$38)</f>
        <v/>
      </c>
      <c r="N23" s="294"/>
      <c r="O23" s="176" t="str">
        <f t="shared" si="10"/>
        <v/>
      </c>
      <c r="P23" s="176" t="str">
        <f t="shared" si="11"/>
        <v/>
      </c>
      <c r="Q23" s="117"/>
      <c r="R23" s="296"/>
      <c r="S23" s="40" t="str">
        <f t="shared" si="4"/>
        <v/>
      </c>
      <c r="T23" s="296"/>
      <c r="U23" s="40" t="str">
        <f t="shared" si="5"/>
        <v/>
      </c>
      <c r="V23" s="177" t="str">
        <f t="shared" si="12"/>
        <v/>
      </c>
      <c r="W23" s="178" t="str">
        <f t="shared" si="13"/>
        <v/>
      </c>
      <c r="Y23" s="343"/>
      <c r="Z23" s="341"/>
    </row>
    <row r="24" spans="1:26" x14ac:dyDescent="0.25">
      <c r="A24" s="290"/>
      <c r="B24" s="291"/>
      <c r="C24" s="292"/>
      <c r="D24" s="293"/>
      <c r="E24" s="174"/>
      <c r="F24" s="294"/>
      <c r="G24" s="117" t="str">
        <f t="shared" si="8"/>
        <v/>
      </c>
      <c r="H24" s="117" t="str">
        <f t="shared" si="9"/>
        <v/>
      </c>
      <c r="I24" s="294"/>
      <c r="J24" s="294"/>
      <c r="K24" s="294"/>
      <c r="L24" s="294"/>
      <c r="M24" s="175" t="str">
        <f>IF(H24="","",'PK Zeitzuschläge kA'!$N$38)</f>
        <v/>
      </c>
      <c r="N24" s="294"/>
      <c r="O24" s="176" t="str">
        <f t="shared" si="10"/>
        <v/>
      </c>
      <c r="P24" s="176" t="str">
        <f t="shared" si="11"/>
        <v/>
      </c>
      <c r="Q24" s="117"/>
      <c r="R24" s="296"/>
      <c r="S24" s="40" t="str">
        <f t="shared" si="4"/>
        <v/>
      </c>
      <c r="T24" s="296"/>
      <c r="U24" s="40" t="str">
        <f t="shared" si="5"/>
        <v/>
      </c>
      <c r="V24" s="177" t="str">
        <f t="shared" si="12"/>
        <v/>
      </c>
      <c r="W24" s="178" t="str">
        <f t="shared" si="13"/>
        <v/>
      </c>
      <c r="Y24" s="343"/>
      <c r="Z24" s="341"/>
    </row>
    <row r="25" spans="1:26" x14ac:dyDescent="0.25">
      <c r="A25" s="290"/>
      <c r="B25" s="291"/>
      <c r="C25" s="292"/>
      <c r="D25" s="293"/>
      <c r="E25" s="174"/>
      <c r="F25" s="294"/>
      <c r="G25" s="117" t="str">
        <f t="shared" si="8"/>
        <v/>
      </c>
      <c r="H25" s="117" t="str">
        <f t="shared" si="9"/>
        <v/>
      </c>
      <c r="I25" s="294"/>
      <c r="J25" s="294"/>
      <c r="K25" s="294"/>
      <c r="L25" s="294"/>
      <c r="M25" s="175" t="str">
        <f>IF(H25="","",'PK Zeitzuschläge kA'!$N$38)</f>
        <v/>
      </c>
      <c r="N25" s="294"/>
      <c r="O25" s="176" t="str">
        <f t="shared" si="10"/>
        <v/>
      </c>
      <c r="P25" s="176" t="str">
        <f t="shared" si="11"/>
        <v/>
      </c>
      <c r="Q25" s="117"/>
      <c r="R25" s="296"/>
      <c r="S25" s="40" t="str">
        <f t="shared" si="4"/>
        <v/>
      </c>
      <c r="T25" s="296"/>
      <c r="U25" s="40" t="str">
        <f t="shared" si="5"/>
        <v/>
      </c>
      <c r="V25" s="177" t="str">
        <f t="shared" si="12"/>
        <v/>
      </c>
      <c r="W25" s="178" t="str">
        <f t="shared" si="13"/>
        <v/>
      </c>
      <c r="Y25" s="343"/>
      <c r="Z25" s="341"/>
    </row>
    <row r="26" spans="1:26" x14ac:dyDescent="0.25">
      <c r="A26" s="290"/>
      <c r="B26" s="291"/>
      <c r="C26" s="292"/>
      <c r="D26" s="293"/>
      <c r="E26" s="174"/>
      <c r="F26" s="294"/>
      <c r="G26" s="117" t="str">
        <f t="shared" si="8"/>
        <v/>
      </c>
      <c r="H26" s="117" t="str">
        <f t="shared" si="9"/>
        <v/>
      </c>
      <c r="I26" s="294"/>
      <c r="J26" s="294"/>
      <c r="K26" s="294"/>
      <c r="L26" s="294"/>
      <c r="M26" s="175" t="str">
        <f>IF(H26="","",'PK Zeitzuschläge kA'!$N$38)</f>
        <v/>
      </c>
      <c r="N26" s="294"/>
      <c r="O26" s="176" t="str">
        <f t="shared" si="10"/>
        <v/>
      </c>
      <c r="P26" s="176" t="str">
        <f t="shared" si="11"/>
        <v/>
      </c>
      <c r="Q26" s="117"/>
      <c r="R26" s="296"/>
      <c r="S26" s="40" t="str">
        <f t="shared" si="4"/>
        <v/>
      </c>
      <c r="T26" s="296"/>
      <c r="U26" s="40" t="str">
        <f t="shared" si="5"/>
        <v/>
      </c>
      <c r="V26" s="177" t="str">
        <f t="shared" si="12"/>
        <v/>
      </c>
      <c r="W26" s="178" t="str">
        <f t="shared" si="13"/>
        <v/>
      </c>
      <c r="Y26" s="343"/>
      <c r="Z26" s="341"/>
    </row>
    <row r="27" spans="1:26" x14ac:dyDescent="0.25">
      <c r="A27" s="290"/>
      <c r="B27" s="291"/>
      <c r="C27" s="292"/>
      <c r="D27" s="293"/>
      <c r="E27" s="174"/>
      <c r="F27" s="294"/>
      <c r="G27" s="117" t="str">
        <f t="shared" si="8"/>
        <v/>
      </c>
      <c r="H27" s="117" t="str">
        <f t="shared" si="9"/>
        <v/>
      </c>
      <c r="I27" s="294"/>
      <c r="J27" s="294"/>
      <c r="K27" s="294"/>
      <c r="L27" s="294"/>
      <c r="M27" s="175" t="str">
        <f>IF(H27="","",'PK Zeitzuschläge kA'!$N$38)</f>
        <v/>
      </c>
      <c r="N27" s="294"/>
      <c r="O27" s="176" t="str">
        <f t="shared" si="10"/>
        <v/>
      </c>
      <c r="P27" s="176" t="str">
        <f t="shared" si="11"/>
        <v/>
      </c>
      <c r="Q27" s="117"/>
      <c r="R27" s="296"/>
      <c r="S27" s="40" t="str">
        <f t="shared" si="4"/>
        <v/>
      </c>
      <c r="T27" s="296"/>
      <c r="U27" s="40" t="str">
        <f t="shared" si="5"/>
        <v/>
      </c>
      <c r="V27" s="177" t="str">
        <f t="shared" si="12"/>
        <v/>
      </c>
      <c r="W27" s="178" t="str">
        <f t="shared" si="13"/>
        <v/>
      </c>
      <c r="Y27" s="343"/>
      <c r="Z27" s="341"/>
    </row>
    <row r="28" spans="1:26" x14ac:dyDescent="0.25">
      <c r="A28" s="290"/>
      <c r="B28" s="291"/>
      <c r="C28" s="292"/>
      <c r="D28" s="293"/>
      <c r="E28" s="174"/>
      <c r="F28" s="294"/>
      <c r="G28" s="117" t="str">
        <f t="shared" si="8"/>
        <v/>
      </c>
      <c r="H28" s="117" t="str">
        <f t="shared" si="9"/>
        <v/>
      </c>
      <c r="I28" s="294"/>
      <c r="J28" s="294"/>
      <c r="K28" s="294"/>
      <c r="L28" s="294"/>
      <c r="M28" s="175" t="str">
        <f>IF(H28="","",'PK Zeitzuschläge kA'!$N$38)</f>
        <v/>
      </c>
      <c r="N28" s="294"/>
      <c r="O28" s="176" t="str">
        <f t="shared" si="10"/>
        <v/>
      </c>
      <c r="P28" s="176" t="str">
        <f t="shared" si="11"/>
        <v/>
      </c>
      <c r="Q28" s="117"/>
      <c r="R28" s="296"/>
      <c r="S28" s="40" t="str">
        <f t="shared" si="4"/>
        <v/>
      </c>
      <c r="T28" s="296"/>
      <c r="U28" s="40" t="str">
        <f t="shared" si="5"/>
        <v/>
      </c>
      <c r="V28" s="177" t="str">
        <f t="shared" si="12"/>
        <v/>
      </c>
      <c r="W28" s="178" t="str">
        <f t="shared" si="13"/>
        <v/>
      </c>
      <c r="Y28" s="343"/>
      <c r="Z28" s="341"/>
    </row>
    <row r="29" spans="1:26" x14ac:dyDescent="0.25">
      <c r="A29" s="290"/>
      <c r="B29" s="291"/>
      <c r="C29" s="292"/>
      <c r="D29" s="293"/>
      <c r="E29" s="174"/>
      <c r="F29" s="294"/>
      <c r="G29" s="117" t="str">
        <f t="shared" si="8"/>
        <v/>
      </c>
      <c r="H29" s="117" t="str">
        <f t="shared" si="9"/>
        <v/>
      </c>
      <c r="I29" s="294"/>
      <c r="J29" s="294"/>
      <c r="K29" s="294"/>
      <c r="L29" s="294"/>
      <c r="M29" s="175" t="str">
        <f>IF(H29="","",'PK Zeitzuschläge kA'!$N$38)</f>
        <v/>
      </c>
      <c r="N29" s="294"/>
      <c r="O29" s="176" t="str">
        <f t="shared" si="10"/>
        <v/>
      </c>
      <c r="P29" s="176" t="str">
        <f t="shared" si="11"/>
        <v/>
      </c>
      <c r="Q29" s="117"/>
      <c r="R29" s="296"/>
      <c r="S29" s="40" t="str">
        <f t="shared" si="4"/>
        <v/>
      </c>
      <c r="T29" s="296"/>
      <c r="U29" s="40" t="str">
        <f t="shared" si="5"/>
        <v/>
      </c>
      <c r="V29" s="177" t="str">
        <f t="shared" si="12"/>
        <v/>
      </c>
      <c r="W29" s="178" t="str">
        <f t="shared" si="13"/>
        <v/>
      </c>
      <c r="Y29" s="343"/>
      <c r="Z29" s="341"/>
    </row>
    <row r="30" spans="1:26" x14ac:dyDescent="0.25">
      <c r="A30" s="290"/>
      <c r="B30" s="291"/>
      <c r="C30" s="292"/>
      <c r="D30" s="293"/>
      <c r="E30" s="174"/>
      <c r="F30" s="294"/>
      <c r="G30" s="117" t="str">
        <f t="shared" si="8"/>
        <v/>
      </c>
      <c r="H30" s="117" t="str">
        <f t="shared" si="9"/>
        <v/>
      </c>
      <c r="I30" s="294"/>
      <c r="J30" s="294"/>
      <c r="K30" s="294"/>
      <c r="L30" s="294"/>
      <c r="M30" s="175" t="str">
        <f>IF(H30="","",'PK Zeitzuschläge kA'!$N$38)</f>
        <v/>
      </c>
      <c r="N30" s="294"/>
      <c r="O30" s="176" t="str">
        <f t="shared" si="10"/>
        <v/>
      </c>
      <c r="P30" s="176" t="str">
        <f t="shared" si="11"/>
        <v/>
      </c>
      <c r="Q30" s="117"/>
      <c r="R30" s="296"/>
      <c r="S30" s="40" t="str">
        <f t="shared" si="4"/>
        <v/>
      </c>
      <c r="T30" s="296"/>
      <c r="U30" s="40" t="str">
        <f t="shared" si="5"/>
        <v/>
      </c>
      <c r="V30" s="177" t="str">
        <f t="shared" si="12"/>
        <v/>
      </c>
      <c r="W30" s="178" t="str">
        <f t="shared" si="13"/>
        <v/>
      </c>
      <c r="Y30" s="343"/>
      <c r="Z30" s="341"/>
    </row>
    <row r="31" spans="1:26" x14ac:dyDescent="0.25">
      <c r="A31" s="290"/>
      <c r="B31" s="291"/>
      <c r="C31" s="292"/>
      <c r="D31" s="293"/>
      <c r="E31" s="174"/>
      <c r="F31" s="294"/>
      <c r="G31" s="117" t="str">
        <f t="shared" si="8"/>
        <v/>
      </c>
      <c r="H31" s="117" t="str">
        <f t="shared" si="9"/>
        <v/>
      </c>
      <c r="I31" s="294"/>
      <c r="J31" s="294"/>
      <c r="K31" s="294"/>
      <c r="L31" s="294"/>
      <c r="M31" s="175" t="str">
        <f>IF(H31="","",'PK Zeitzuschläge kA'!$N$38)</f>
        <v/>
      </c>
      <c r="N31" s="294"/>
      <c r="O31" s="176" t="str">
        <f t="shared" si="10"/>
        <v/>
      </c>
      <c r="P31" s="176" t="str">
        <f t="shared" si="11"/>
        <v/>
      </c>
      <c r="Q31" s="117"/>
      <c r="R31" s="296"/>
      <c r="S31" s="40" t="str">
        <f t="shared" si="4"/>
        <v/>
      </c>
      <c r="T31" s="296"/>
      <c r="U31" s="40" t="str">
        <f t="shared" si="5"/>
        <v/>
      </c>
      <c r="V31" s="177" t="str">
        <f t="shared" si="12"/>
        <v/>
      </c>
      <c r="W31" s="178" t="str">
        <f t="shared" si="13"/>
        <v/>
      </c>
      <c r="Y31" s="343"/>
      <c r="Z31" s="341"/>
    </row>
    <row r="32" spans="1:26" x14ac:dyDescent="0.25">
      <c r="A32" s="290"/>
      <c r="B32" s="291"/>
      <c r="C32" s="292"/>
      <c r="D32" s="293"/>
      <c r="E32" s="174"/>
      <c r="F32" s="294"/>
      <c r="G32" s="117" t="str">
        <f t="shared" si="8"/>
        <v/>
      </c>
      <c r="H32" s="117" t="str">
        <f t="shared" si="9"/>
        <v/>
      </c>
      <c r="I32" s="294"/>
      <c r="J32" s="294"/>
      <c r="K32" s="294"/>
      <c r="L32" s="294"/>
      <c r="M32" s="175" t="str">
        <f>IF(H32="","",'PK Zeitzuschläge kA'!$N$38)</f>
        <v/>
      </c>
      <c r="N32" s="294"/>
      <c r="O32" s="176" t="str">
        <f t="shared" si="10"/>
        <v/>
      </c>
      <c r="P32" s="176" t="str">
        <f t="shared" si="11"/>
        <v/>
      </c>
      <c r="Q32" s="117"/>
      <c r="R32" s="296"/>
      <c r="S32" s="40" t="str">
        <f t="shared" si="4"/>
        <v/>
      </c>
      <c r="T32" s="296"/>
      <c r="U32" s="40" t="str">
        <f t="shared" si="5"/>
        <v/>
      </c>
      <c r="V32" s="177" t="str">
        <f t="shared" si="12"/>
        <v/>
      </c>
      <c r="W32" s="178" t="str">
        <f t="shared" si="13"/>
        <v/>
      </c>
      <c r="Y32" s="343"/>
      <c r="Z32" s="341"/>
    </row>
    <row r="33" spans="1:26" x14ac:dyDescent="0.25">
      <c r="A33" s="290"/>
      <c r="B33" s="291"/>
      <c r="C33" s="292"/>
      <c r="D33" s="293"/>
      <c r="E33" s="174"/>
      <c r="F33" s="294"/>
      <c r="G33" s="117" t="str">
        <f t="shared" si="8"/>
        <v/>
      </c>
      <c r="H33" s="117" t="str">
        <f t="shared" si="9"/>
        <v/>
      </c>
      <c r="I33" s="294"/>
      <c r="J33" s="294"/>
      <c r="K33" s="294"/>
      <c r="L33" s="294"/>
      <c r="M33" s="175" t="str">
        <f>IF(H33="","",'PK Zeitzuschläge kA'!$N$38)</f>
        <v/>
      </c>
      <c r="N33" s="294"/>
      <c r="O33" s="176" t="str">
        <f t="shared" si="10"/>
        <v/>
      </c>
      <c r="P33" s="176" t="str">
        <f t="shared" si="11"/>
        <v/>
      </c>
      <c r="Q33" s="117"/>
      <c r="R33" s="296"/>
      <c r="S33" s="40" t="str">
        <f t="shared" si="4"/>
        <v/>
      </c>
      <c r="T33" s="296"/>
      <c r="U33" s="40" t="str">
        <f t="shared" si="5"/>
        <v/>
      </c>
      <c r="V33" s="177" t="str">
        <f t="shared" si="12"/>
        <v/>
      </c>
      <c r="W33" s="178" t="str">
        <f t="shared" si="13"/>
        <v/>
      </c>
      <c r="Y33" s="343"/>
      <c r="Z33" s="341"/>
    </row>
    <row r="34" spans="1:26" x14ac:dyDescent="0.25">
      <c r="A34" s="290"/>
      <c r="B34" s="291"/>
      <c r="C34" s="292"/>
      <c r="D34" s="293"/>
      <c r="E34" s="174"/>
      <c r="F34" s="294"/>
      <c r="G34" s="117" t="str">
        <f t="shared" si="8"/>
        <v/>
      </c>
      <c r="H34" s="117" t="str">
        <f t="shared" si="9"/>
        <v/>
      </c>
      <c r="I34" s="294"/>
      <c r="J34" s="294"/>
      <c r="K34" s="294"/>
      <c r="L34" s="294"/>
      <c r="M34" s="175" t="str">
        <f>IF(H34="","",'PK Zeitzuschläge kA'!$N$38)</f>
        <v/>
      </c>
      <c r="N34" s="294"/>
      <c r="O34" s="176" t="str">
        <f t="shared" si="10"/>
        <v/>
      </c>
      <c r="P34" s="176" t="str">
        <f t="shared" si="11"/>
        <v/>
      </c>
      <c r="Q34" s="117"/>
      <c r="R34" s="296"/>
      <c r="S34" s="40" t="str">
        <f t="shared" si="4"/>
        <v/>
      </c>
      <c r="T34" s="296"/>
      <c r="U34" s="40" t="str">
        <f t="shared" si="5"/>
        <v/>
      </c>
      <c r="V34" s="177" t="str">
        <f t="shared" si="12"/>
        <v/>
      </c>
      <c r="W34" s="178" t="str">
        <f t="shared" si="13"/>
        <v/>
      </c>
      <c r="Y34" s="343"/>
      <c r="Z34" s="341"/>
    </row>
    <row r="35" spans="1:26" x14ac:dyDescent="0.25">
      <c r="A35" s="290"/>
      <c r="B35" s="291"/>
      <c r="C35" s="292"/>
      <c r="D35" s="293"/>
      <c r="E35" s="174"/>
      <c r="F35" s="294"/>
      <c r="G35" s="117" t="str">
        <f t="shared" si="8"/>
        <v/>
      </c>
      <c r="H35" s="117" t="str">
        <f t="shared" si="9"/>
        <v/>
      </c>
      <c r="I35" s="294"/>
      <c r="J35" s="294"/>
      <c r="K35" s="294"/>
      <c r="L35" s="294"/>
      <c r="M35" s="175" t="str">
        <f>IF(H35="","",'PK Zeitzuschläge kA'!$N$38)</f>
        <v/>
      </c>
      <c r="N35" s="294"/>
      <c r="O35" s="176" t="str">
        <f t="shared" si="10"/>
        <v/>
      </c>
      <c r="P35" s="176" t="str">
        <f t="shared" si="11"/>
        <v/>
      </c>
      <c r="Q35" s="117"/>
      <c r="R35" s="296"/>
      <c r="S35" s="40" t="str">
        <f t="shared" si="4"/>
        <v/>
      </c>
      <c r="T35" s="296"/>
      <c r="U35" s="40" t="str">
        <f t="shared" si="5"/>
        <v/>
      </c>
      <c r="V35" s="177" t="str">
        <f t="shared" si="12"/>
        <v/>
      </c>
      <c r="W35" s="178" t="str">
        <f t="shared" si="13"/>
        <v/>
      </c>
      <c r="Y35" s="343"/>
      <c r="Z35" s="341"/>
    </row>
    <row r="36" spans="1:26" x14ac:dyDescent="0.25">
      <c r="A36" s="290"/>
      <c r="B36" s="291"/>
      <c r="C36" s="292"/>
      <c r="D36" s="293"/>
      <c r="E36" s="174"/>
      <c r="F36" s="294"/>
      <c r="G36" s="117" t="str">
        <f t="shared" si="8"/>
        <v/>
      </c>
      <c r="H36" s="117" t="str">
        <f t="shared" si="9"/>
        <v/>
      </c>
      <c r="I36" s="294"/>
      <c r="J36" s="294"/>
      <c r="K36" s="294"/>
      <c r="L36" s="294"/>
      <c r="M36" s="175" t="str">
        <f>IF(H36="","",'PK Zeitzuschläge kA'!$N$38)</f>
        <v/>
      </c>
      <c r="N36" s="294"/>
      <c r="O36" s="176" t="str">
        <f t="shared" si="10"/>
        <v/>
      </c>
      <c r="P36" s="176" t="str">
        <f t="shared" si="11"/>
        <v/>
      </c>
      <c r="Q36" s="117"/>
      <c r="R36" s="296"/>
      <c r="S36" s="40" t="str">
        <f t="shared" si="4"/>
        <v/>
      </c>
      <c r="T36" s="296"/>
      <c r="U36" s="40" t="str">
        <f t="shared" si="5"/>
        <v/>
      </c>
      <c r="V36" s="177" t="str">
        <f t="shared" si="12"/>
        <v/>
      </c>
      <c r="W36" s="178" t="str">
        <f t="shared" si="13"/>
        <v/>
      </c>
      <c r="Y36" s="343"/>
      <c r="Z36" s="341"/>
    </row>
    <row r="37" spans="1:26" x14ac:dyDescent="0.25">
      <c r="A37" s="290"/>
      <c r="B37" s="291"/>
      <c r="C37" s="292"/>
      <c r="D37" s="293"/>
      <c r="E37" s="174"/>
      <c r="F37" s="294"/>
      <c r="G37" s="117" t="str">
        <f t="shared" si="8"/>
        <v/>
      </c>
      <c r="H37" s="117" t="str">
        <f t="shared" si="9"/>
        <v/>
      </c>
      <c r="I37" s="294"/>
      <c r="J37" s="294"/>
      <c r="K37" s="294"/>
      <c r="L37" s="294"/>
      <c r="M37" s="175" t="str">
        <f>IF(H37="","",'PK Zeitzuschläge kA'!$N$38)</f>
        <v/>
      </c>
      <c r="N37" s="294"/>
      <c r="O37" s="176" t="str">
        <f t="shared" si="10"/>
        <v/>
      </c>
      <c r="P37" s="176" t="str">
        <f t="shared" si="11"/>
        <v/>
      </c>
      <c r="Q37" s="117"/>
      <c r="R37" s="296"/>
      <c r="S37" s="40" t="str">
        <f t="shared" si="4"/>
        <v/>
      </c>
      <c r="T37" s="296"/>
      <c r="U37" s="40" t="str">
        <f t="shared" si="5"/>
        <v/>
      </c>
      <c r="V37" s="177" t="str">
        <f t="shared" si="12"/>
        <v/>
      </c>
      <c r="W37" s="178" t="str">
        <f t="shared" si="13"/>
        <v/>
      </c>
      <c r="Y37" s="343"/>
      <c r="Z37" s="341"/>
    </row>
    <row r="38" spans="1:26" x14ac:dyDescent="0.25">
      <c r="A38" s="290"/>
      <c r="B38" s="291"/>
      <c r="C38" s="292"/>
      <c r="D38" s="293"/>
      <c r="E38" s="174"/>
      <c r="F38" s="294"/>
      <c r="G38" s="117" t="str">
        <f t="shared" ref="G38:G39" si="14">IF($G$7=0,"",IF(F38&gt;0,ROUND(F38*$G$7,2),""))</f>
        <v/>
      </c>
      <c r="H38" s="117" t="str">
        <f t="shared" ref="H38:H39" si="15">IF(F38&gt;0,F38+IF(G38="",0,G38),"")</f>
        <v/>
      </c>
      <c r="I38" s="294"/>
      <c r="J38" s="294"/>
      <c r="K38" s="294"/>
      <c r="L38" s="294"/>
      <c r="M38" s="175" t="str">
        <f>IF(H38="","",'PK Zeitzuschläge kA'!$N$38)</f>
        <v/>
      </c>
      <c r="N38" s="294"/>
      <c r="O38" s="176" t="str">
        <f t="shared" ref="O38:O39" si="16">IF(SUM(H38:N38)=0,"",SUM(H38:N38))</f>
        <v/>
      </c>
      <c r="P38" s="176" t="str">
        <f t="shared" ref="P38:P39" si="17">IF(O38="","",ROUND(O38*12,2))</f>
        <v/>
      </c>
      <c r="Q38" s="117"/>
      <c r="R38" s="296"/>
      <c r="S38" s="40" t="str">
        <f t="shared" si="4"/>
        <v/>
      </c>
      <c r="T38" s="296"/>
      <c r="U38" s="40" t="str">
        <f t="shared" si="5"/>
        <v/>
      </c>
      <c r="V38" s="177" t="str">
        <f t="shared" ref="V38:V39" si="18">IF(SUM(U38,S38,P38)&gt;0,SUM(U38,S38,P38),"")</f>
        <v/>
      </c>
      <c r="W38" s="178" t="str">
        <f t="shared" ref="W38:W39" si="19">IF(V38="","",ROUND(V38/12,2))</f>
        <v/>
      </c>
      <c r="Y38" s="343"/>
      <c r="Z38" s="341"/>
    </row>
    <row r="39" spans="1:26" x14ac:dyDescent="0.25">
      <c r="A39" s="290"/>
      <c r="B39" s="291"/>
      <c r="C39" s="292"/>
      <c r="D39" s="293"/>
      <c r="E39" s="174"/>
      <c r="F39" s="294"/>
      <c r="G39" s="117" t="str">
        <f t="shared" si="14"/>
        <v/>
      </c>
      <c r="H39" s="117" t="str">
        <f t="shared" si="15"/>
        <v/>
      </c>
      <c r="I39" s="294"/>
      <c r="J39" s="294"/>
      <c r="K39" s="294"/>
      <c r="L39" s="294"/>
      <c r="M39" s="175" t="str">
        <f>IF(H39="","",'PK Zeitzuschläge kA'!$N$38)</f>
        <v/>
      </c>
      <c r="N39" s="294"/>
      <c r="O39" s="176" t="str">
        <f t="shared" si="16"/>
        <v/>
      </c>
      <c r="P39" s="176" t="str">
        <f t="shared" si="17"/>
        <v/>
      </c>
      <c r="Q39" s="117"/>
      <c r="R39" s="296"/>
      <c r="S39" s="40" t="str">
        <f t="shared" si="4"/>
        <v/>
      </c>
      <c r="T39" s="296"/>
      <c r="U39" s="40" t="str">
        <f t="shared" si="5"/>
        <v/>
      </c>
      <c r="V39" s="177" t="str">
        <f t="shared" si="18"/>
        <v/>
      </c>
      <c r="W39" s="178" t="str">
        <f t="shared" si="19"/>
        <v/>
      </c>
      <c r="Y39" s="343"/>
      <c r="Z39" s="341"/>
    </row>
    <row r="40" spans="1:26" x14ac:dyDescent="0.25">
      <c r="A40" s="41" t="str">
        <f>IF('PK Zusammenfassung'!A39=0,"",'PK Zusammenfassung'!A39)</f>
        <v>Auszubildende</v>
      </c>
      <c r="B40" s="291"/>
      <c r="C40" s="292"/>
      <c r="D40" s="293"/>
      <c r="E40" s="174"/>
      <c r="F40" s="294"/>
      <c r="G40" s="117" t="str">
        <f t="shared" ref="G40:G41" si="20">IF($G$7=0,"",IF(F40&gt;0,ROUND(F40*$G$7,2),""))</f>
        <v/>
      </c>
      <c r="H40" s="117" t="str">
        <f t="shared" ref="H40:H41" si="21">IF(F40&gt;0,F40+IF(G40="",0,G40),"")</f>
        <v/>
      </c>
      <c r="I40" s="294"/>
      <c r="J40" s="294"/>
      <c r="K40" s="294"/>
      <c r="L40" s="294"/>
      <c r="M40" s="175"/>
      <c r="N40" s="294"/>
      <c r="O40" s="176" t="str">
        <f t="shared" ref="O40:O41" si="22">IF(SUM(H40:N40)=0,"",SUM(H40:N40))</f>
        <v/>
      </c>
      <c r="P40" s="176" t="str">
        <f t="shared" ref="P40:P41" si="23">IF(O40="","",ROUND(O40*12,2))</f>
        <v/>
      </c>
      <c r="Q40" s="117"/>
      <c r="R40" s="296"/>
      <c r="S40" s="40" t="str">
        <f t="shared" si="4"/>
        <v/>
      </c>
      <c r="T40" s="296"/>
      <c r="U40" s="40" t="str">
        <f t="shared" si="5"/>
        <v/>
      </c>
      <c r="V40" s="177" t="str">
        <f t="shared" ref="V40:V41" si="24">IF(SUM(U40,S40,P40)&gt;0,SUM(U40,S40,P40),"")</f>
        <v/>
      </c>
      <c r="W40" s="178" t="str">
        <f t="shared" ref="W40:W41" si="25">IF(V40="","",ROUND(V40/12,2))</f>
        <v/>
      </c>
      <c r="Y40" s="343"/>
      <c r="Z40" s="341"/>
    </row>
    <row r="41" spans="1:26" x14ac:dyDescent="0.25">
      <c r="A41" s="41" t="str">
        <f>IF('PK Zusammenfassung'!A40=0,"",'PK Zusammenfassung'!A40)</f>
        <v>Studierende</v>
      </c>
      <c r="B41" s="291"/>
      <c r="C41" s="292"/>
      <c r="D41" s="293"/>
      <c r="E41" s="174"/>
      <c r="F41" s="294"/>
      <c r="G41" s="117" t="str">
        <f t="shared" si="20"/>
        <v/>
      </c>
      <c r="H41" s="117" t="str">
        <f t="shared" si="21"/>
        <v/>
      </c>
      <c r="I41" s="294"/>
      <c r="J41" s="294"/>
      <c r="K41" s="294"/>
      <c r="L41" s="294"/>
      <c r="M41" s="175"/>
      <c r="N41" s="294"/>
      <c r="O41" s="176" t="str">
        <f t="shared" si="22"/>
        <v/>
      </c>
      <c r="P41" s="176" t="str">
        <f t="shared" si="23"/>
        <v/>
      </c>
      <c r="Q41" s="117"/>
      <c r="R41" s="296"/>
      <c r="S41" s="40" t="str">
        <f t="shared" si="4"/>
        <v/>
      </c>
      <c r="T41" s="296"/>
      <c r="U41" s="40" t="str">
        <f t="shared" si="5"/>
        <v/>
      </c>
      <c r="V41" s="177" t="str">
        <f t="shared" si="24"/>
        <v/>
      </c>
      <c r="W41" s="178" t="str">
        <f t="shared" si="25"/>
        <v/>
      </c>
      <c r="Y41" s="343"/>
      <c r="Z41" s="341"/>
    </row>
    <row r="42" spans="1:26" x14ac:dyDescent="0.25">
      <c r="A42" s="41" t="str">
        <f>IF('PK Zusammenfassung'!A41=0,"",'PK Zusammenfassung'!A41)</f>
        <v>Praktikant:innen</v>
      </c>
      <c r="B42" s="291"/>
      <c r="C42" s="292"/>
      <c r="D42" s="293"/>
      <c r="E42" s="174"/>
      <c r="F42" s="294"/>
      <c r="G42" s="179"/>
      <c r="H42" s="117" t="str">
        <f t="shared" si="1"/>
        <v/>
      </c>
      <c r="I42" s="179"/>
      <c r="J42" s="179"/>
      <c r="K42" s="179"/>
      <c r="L42" s="179"/>
      <c r="M42" s="179"/>
      <c r="N42" s="179"/>
      <c r="O42" s="176" t="str">
        <f t="shared" si="2"/>
        <v/>
      </c>
      <c r="P42" s="176" t="str">
        <f t="shared" si="3"/>
        <v/>
      </c>
      <c r="Q42" s="117"/>
      <c r="R42" s="179"/>
      <c r="S42" s="179"/>
      <c r="T42" s="179"/>
      <c r="U42" s="179"/>
      <c r="V42" s="177" t="str">
        <f t="shared" si="6"/>
        <v/>
      </c>
      <c r="W42" s="178" t="str">
        <f t="shared" si="7"/>
        <v/>
      </c>
      <c r="Y42" s="343"/>
      <c r="Z42" s="341"/>
    </row>
    <row r="43" spans="1:26" x14ac:dyDescent="0.25">
      <c r="A43" s="41" t="str">
        <f>IF('PK Zusammenfassung'!A42=0,"",'PK Zusammenfassung'!A42)</f>
        <v>MiniJob</v>
      </c>
      <c r="B43" s="291"/>
      <c r="C43" s="292"/>
      <c r="D43" s="293"/>
      <c r="E43" s="174"/>
      <c r="F43" s="294"/>
      <c r="G43" s="179"/>
      <c r="H43" s="117" t="str">
        <f t="shared" si="1"/>
        <v/>
      </c>
      <c r="I43" s="179"/>
      <c r="J43" s="179"/>
      <c r="K43" s="179"/>
      <c r="L43" s="179"/>
      <c r="M43" s="179"/>
      <c r="N43" s="179"/>
      <c r="O43" s="176" t="str">
        <f t="shared" ref="O43:O44" si="26">IF(SUM(H43:N43)=0,"",SUM(H43:N43))</f>
        <v/>
      </c>
      <c r="P43" s="176" t="str">
        <f t="shared" ref="P43:P44" si="27">IF(O43="","",ROUND(O43*12,2))</f>
        <v/>
      </c>
      <c r="Q43" s="117"/>
      <c r="R43" s="179"/>
      <c r="S43" s="179"/>
      <c r="T43" s="179"/>
      <c r="U43" s="179"/>
      <c r="V43" s="177" t="str">
        <f t="shared" ref="V43:V44" si="28">IF(SUM(U43,S43,P43)&gt;0,SUM(U43,S43,P43),"")</f>
        <v/>
      </c>
      <c r="W43" s="178" t="str">
        <f t="shared" ref="W43:W44" si="29">IF(V43="","",ROUND(V43/12,2))</f>
        <v/>
      </c>
      <c r="Y43" s="343"/>
      <c r="Z43" s="341"/>
    </row>
    <row r="44" spans="1:26" x14ac:dyDescent="0.25">
      <c r="A44" s="41" t="s">
        <v>47</v>
      </c>
      <c r="B44" s="291"/>
      <c r="C44" s="292"/>
      <c r="D44" s="293"/>
      <c r="E44" s="174"/>
      <c r="F44" s="294"/>
      <c r="G44" s="179"/>
      <c r="H44" s="117" t="str">
        <f t="shared" si="1"/>
        <v/>
      </c>
      <c r="I44" s="179"/>
      <c r="J44" s="179"/>
      <c r="K44" s="179"/>
      <c r="L44" s="179"/>
      <c r="M44" s="179"/>
      <c r="N44" s="179"/>
      <c r="O44" s="176" t="str">
        <f t="shared" si="26"/>
        <v/>
      </c>
      <c r="P44" s="176" t="str">
        <f t="shared" si="27"/>
        <v/>
      </c>
      <c r="Q44" s="117"/>
      <c r="R44" s="179"/>
      <c r="S44" s="179"/>
      <c r="T44" s="179"/>
      <c r="U44" s="179"/>
      <c r="V44" s="177" t="str">
        <f t="shared" si="28"/>
        <v/>
      </c>
      <c r="W44" s="178" t="str">
        <f t="shared" si="29"/>
        <v/>
      </c>
      <c r="Y44" s="343"/>
      <c r="Z44" s="341"/>
    </row>
  </sheetData>
  <sheetProtection algorithmName="SHA-512" hashValue="H69NcL0kZVqelWkPk5BZxmq32v5keTkGzcjDvfC/lEvjL6PlM1E1JHOTgEBCoQA72krX2p7JRGFws9dHzYwVXw==" saltValue="Dyumzf7WmUkgmGaZL3cdPw==" spinCount="100000" sheet="1" objects="1" scenarios="1" formatCells="0"/>
  <mergeCells count="17">
    <mergeCell ref="H6:H7"/>
    <mergeCell ref="A6:A7"/>
    <mergeCell ref="B6:B7"/>
    <mergeCell ref="C6:C7"/>
    <mergeCell ref="D6:D7"/>
    <mergeCell ref="F6:F7"/>
    <mergeCell ref="R6:S6"/>
    <mergeCell ref="T6:U6"/>
    <mergeCell ref="V6:V7"/>
    <mergeCell ref="W6:W7"/>
    <mergeCell ref="I6:I7"/>
    <mergeCell ref="K6:K7"/>
    <mergeCell ref="L6:L7"/>
    <mergeCell ref="M6:M7"/>
    <mergeCell ref="O6:O7"/>
    <mergeCell ref="P6:P7"/>
    <mergeCell ref="J6:J7"/>
  </mergeCells>
  <dataValidations count="2">
    <dataValidation type="whole" operator="lessThan" allowBlank="1" showInputMessage="1" showErrorMessage="1" error="Es können nur ganze Zahlen angegeben werden." sqref="D10" xr:uid="{00000000-0002-0000-0300-000000000000}">
      <formula1>100</formula1>
    </dataValidation>
    <dataValidation type="whole" operator="lessThan" allowBlank="1" showInputMessage="1" showErrorMessage="1" error="Es können nur ganze Zahlen eingegeben werden." sqref="D11:D44" xr:uid="{00000000-0002-0000-0300-000001000000}">
      <formula1>100</formula1>
    </dataValidation>
  </dataValidations>
  <pageMargins left="0.7" right="0.7" top="0.78740157499999996" bottom="0.78740157499999996" header="0.3" footer="0.3"/>
  <pageSetup paperSize="9" orientation="landscape" r:id="rId1"/>
  <headerFooter>
    <oddFooter>&amp;L&amp;"Arial,Standard"&amp;8Datum des Ausdrucks
&amp;D&amp;C&amp;"Arial,Standard"&amp;8Kalkulationsdatei Assistenzleistungen 
Rahmenvertrag 3 Version 1.0&amp;R&amp;"Arial,Standard"&amp;8PK AN-Brutto kA
 Seite &amp;P von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76"/>
  <sheetViews>
    <sheetView showGridLines="0" zoomScaleNormal="100" zoomScalePageLayoutView="80" workbookViewId="0">
      <selection activeCell="B76" sqref="B76"/>
    </sheetView>
  </sheetViews>
  <sheetFormatPr baseColWidth="10" defaultColWidth="11.44140625" defaultRowHeight="13.2" x14ac:dyDescent="0.25"/>
  <cols>
    <col min="1" max="1" width="28.5546875" style="1" customWidth="1"/>
    <col min="2" max="2" width="8.6640625" style="1" customWidth="1"/>
    <col min="3" max="3" width="10.6640625" style="1" customWidth="1"/>
    <col min="4" max="4" width="11.44140625" style="1" hidden="1" customWidth="1"/>
    <col min="5" max="5" width="12" style="1" bestFit="1" customWidth="1"/>
    <col min="6" max="6" width="11.44140625" style="1"/>
    <col min="7" max="7" width="11.6640625" style="1" customWidth="1"/>
    <col min="8" max="8" width="11.44140625" style="1"/>
    <col min="9" max="9" width="12.33203125" style="1" customWidth="1"/>
    <col min="10" max="10" width="14.6640625" style="1" customWidth="1"/>
    <col min="11" max="12" width="10.5546875" style="1" customWidth="1"/>
    <col min="13" max="13" width="15.109375" style="1" customWidth="1"/>
    <col min="14" max="14" width="12.5546875" style="1" customWidth="1"/>
    <col min="15" max="16" width="26.6640625" style="1" customWidth="1"/>
    <col min="17" max="16384" width="11.44140625" style="1"/>
  </cols>
  <sheetData>
    <row r="1" spans="1:16" x14ac:dyDescent="0.25">
      <c r="A1" s="3"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row>
    <row r="2" spans="1:16" x14ac:dyDescent="0.25">
      <c r="A2" s="3" t="s">
        <v>180</v>
      </c>
    </row>
    <row r="3" spans="1:16" x14ac:dyDescent="0.25">
      <c r="A3" s="109" t="s">
        <v>65</v>
      </c>
      <c r="B3" s="518" t="s">
        <v>66</v>
      </c>
      <c r="C3" s="518"/>
      <c r="D3" s="41"/>
      <c r="E3" s="515" t="s">
        <v>67</v>
      </c>
      <c r="F3" s="518" t="s">
        <v>68</v>
      </c>
      <c r="G3" s="518"/>
      <c r="H3" s="516" t="s">
        <v>269</v>
      </c>
      <c r="I3" s="516" t="s">
        <v>270</v>
      </c>
      <c r="J3" s="518" t="s">
        <v>69</v>
      </c>
      <c r="K3" s="514" t="s">
        <v>70</v>
      </c>
      <c r="L3" s="516" t="s">
        <v>302</v>
      </c>
      <c r="M3" s="515" t="s">
        <v>51</v>
      </c>
      <c r="O3" s="477" t="s">
        <v>241</v>
      </c>
      <c r="P3" s="477" t="s">
        <v>242</v>
      </c>
    </row>
    <row r="4" spans="1:16" x14ac:dyDescent="0.25">
      <c r="B4" s="110" t="s">
        <v>71</v>
      </c>
      <c r="C4" s="110" t="s">
        <v>72</v>
      </c>
      <c r="D4" s="41"/>
      <c r="E4" s="515"/>
      <c r="F4" s="107" t="s">
        <v>73</v>
      </c>
      <c r="G4" s="107" t="s">
        <v>74</v>
      </c>
      <c r="H4" s="517"/>
      <c r="I4" s="517"/>
      <c r="J4" s="518"/>
      <c r="K4" s="514"/>
      <c r="L4" s="517"/>
      <c r="M4" s="515"/>
      <c r="O4" s="477"/>
      <c r="P4" s="477"/>
    </row>
    <row r="5" spans="1:16" x14ac:dyDescent="0.25">
      <c r="A5" s="51"/>
      <c r="B5" s="387"/>
      <c r="C5" s="385"/>
      <c r="D5" s="389" t="str">
        <f t="shared" ref="D5:D23" si="0">IF(OR(B5="",C5=""),"",IF(C5&gt;B5,C5-B5,1+C5-B5))</f>
        <v/>
      </c>
      <c r="E5" s="58" t="str">
        <f t="shared" ref="E5:E23" si="1">IF(D5="","",D5*24)</f>
        <v/>
      </c>
      <c r="F5" s="140"/>
      <c r="G5" s="141"/>
      <c r="H5" s="51"/>
      <c r="I5" s="41" t="str">
        <f t="shared" ref="I5:I23" si="2">IF(H5&gt;0,E5*H5,"")</f>
        <v/>
      </c>
      <c r="J5" s="111" t="str">
        <f t="shared" ref="J5:J23" si="3">IF(I5="","",IF(AND(F5&gt;0,G5&gt;0),"FEHLER",IF(F5&gt;0,F5*I5,$I$60*G5*I5)))</f>
        <v/>
      </c>
      <c r="K5" s="142"/>
      <c r="L5" s="433" t="str">
        <f t="shared" ref="L5:L23" si="4">IF(H5&gt;0,I5*K5,"")</f>
        <v/>
      </c>
      <c r="M5" s="112" t="str">
        <f t="shared" ref="M5:M23" si="5">IF(J5="","",J5*K5)</f>
        <v/>
      </c>
      <c r="O5" s="390"/>
      <c r="P5" s="391"/>
    </row>
    <row r="6" spans="1:16" x14ac:dyDescent="0.25">
      <c r="A6" s="51"/>
      <c r="B6" s="387"/>
      <c r="C6" s="385"/>
      <c r="D6" s="389" t="str">
        <f t="shared" si="0"/>
        <v/>
      </c>
      <c r="E6" s="58" t="str">
        <f t="shared" si="1"/>
        <v/>
      </c>
      <c r="F6" s="140"/>
      <c r="G6" s="141"/>
      <c r="H6" s="51"/>
      <c r="I6" s="41" t="str">
        <f t="shared" si="2"/>
        <v/>
      </c>
      <c r="J6" s="111" t="str">
        <f t="shared" si="3"/>
        <v/>
      </c>
      <c r="K6" s="142"/>
      <c r="L6" s="433" t="str">
        <f t="shared" si="4"/>
        <v/>
      </c>
      <c r="M6" s="112" t="str">
        <f t="shared" si="5"/>
        <v/>
      </c>
      <c r="O6" s="390"/>
      <c r="P6" s="391"/>
    </row>
    <row r="7" spans="1:16" x14ac:dyDescent="0.25">
      <c r="A7" s="51"/>
      <c r="B7" s="387"/>
      <c r="C7" s="385"/>
      <c r="D7" s="389" t="str">
        <f t="shared" si="0"/>
        <v/>
      </c>
      <c r="E7" s="58" t="str">
        <f t="shared" si="1"/>
        <v/>
      </c>
      <c r="F7" s="140"/>
      <c r="G7" s="141"/>
      <c r="H7" s="51"/>
      <c r="I7" s="41" t="str">
        <f t="shared" si="2"/>
        <v/>
      </c>
      <c r="J7" s="111" t="str">
        <f t="shared" si="3"/>
        <v/>
      </c>
      <c r="K7" s="142"/>
      <c r="L7" s="433" t="str">
        <f t="shared" si="4"/>
        <v/>
      </c>
      <c r="M7" s="112" t="str">
        <f t="shared" si="5"/>
        <v/>
      </c>
      <c r="O7" s="390"/>
      <c r="P7" s="391"/>
    </row>
    <row r="8" spans="1:16" x14ac:dyDescent="0.25">
      <c r="A8" s="51"/>
      <c r="B8" s="387"/>
      <c r="C8" s="385"/>
      <c r="D8" s="389" t="str">
        <f t="shared" si="0"/>
        <v/>
      </c>
      <c r="E8" s="58" t="str">
        <f t="shared" si="1"/>
        <v/>
      </c>
      <c r="F8" s="140"/>
      <c r="G8" s="141"/>
      <c r="H8" s="51"/>
      <c r="I8" s="41" t="str">
        <f t="shared" si="2"/>
        <v/>
      </c>
      <c r="J8" s="111" t="str">
        <f t="shared" si="3"/>
        <v/>
      </c>
      <c r="K8" s="142"/>
      <c r="L8" s="433" t="str">
        <f t="shared" si="4"/>
        <v/>
      </c>
      <c r="M8" s="112" t="str">
        <f t="shared" si="5"/>
        <v/>
      </c>
      <c r="O8" s="390"/>
      <c r="P8" s="391"/>
    </row>
    <row r="9" spans="1:16" x14ac:dyDescent="0.25">
      <c r="A9" s="51"/>
      <c r="B9" s="387"/>
      <c r="C9" s="385"/>
      <c r="D9" s="389" t="str">
        <f t="shared" si="0"/>
        <v/>
      </c>
      <c r="E9" s="58" t="str">
        <f t="shared" si="1"/>
        <v/>
      </c>
      <c r="F9" s="140"/>
      <c r="G9" s="141"/>
      <c r="H9" s="51"/>
      <c r="I9" s="41" t="str">
        <f t="shared" si="2"/>
        <v/>
      </c>
      <c r="J9" s="111" t="str">
        <f t="shared" si="3"/>
        <v/>
      </c>
      <c r="K9" s="142"/>
      <c r="L9" s="433" t="str">
        <f t="shared" si="4"/>
        <v/>
      </c>
      <c r="M9" s="112" t="str">
        <f t="shared" si="5"/>
        <v/>
      </c>
      <c r="O9" s="229"/>
      <c r="P9" s="391"/>
    </row>
    <row r="10" spans="1:16" x14ac:dyDescent="0.25">
      <c r="A10" s="51"/>
      <c r="B10" s="387"/>
      <c r="C10" s="385"/>
      <c r="D10" s="389" t="str">
        <f t="shared" si="0"/>
        <v/>
      </c>
      <c r="E10" s="58" t="str">
        <f t="shared" si="1"/>
        <v/>
      </c>
      <c r="F10" s="140"/>
      <c r="G10" s="141"/>
      <c r="H10" s="51"/>
      <c r="I10" s="41" t="str">
        <f t="shared" si="2"/>
        <v/>
      </c>
      <c r="J10" s="111" t="str">
        <f t="shared" si="3"/>
        <v/>
      </c>
      <c r="K10" s="142"/>
      <c r="L10" s="433" t="str">
        <f t="shared" si="4"/>
        <v/>
      </c>
      <c r="M10" s="112" t="str">
        <f t="shared" si="5"/>
        <v/>
      </c>
      <c r="O10" s="229"/>
      <c r="P10" s="391"/>
    </row>
    <row r="11" spans="1:16" x14ac:dyDescent="0.25">
      <c r="A11" s="51"/>
      <c r="B11" s="387"/>
      <c r="C11" s="385"/>
      <c r="D11" s="389" t="str">
        <f t="shared" si="0"/>
        <v/>
      </c>
      <c r="E11" s="58" t="str">
        <f t="shared" si="1"/>
        <v/>
      </c>
      <c r="F11" s="140"/>
      <c r="G11" s="141"/>
      <c r="H11" s="51"/>
      <c r="I11" s="41" t="str">
        <f t="shared" si="2"/>
        <v/>
      </c>
      <c r="J11" s="111" t="str">
        <f t="shared" si="3"/>
        <v/>
      </c>
      <c r="K11" s="142"/>
      <c r="L11" s="433" t="str">
        <f t="shared" si="4"/>
        <v/>
      </c>
      <c r="M11" s="112" t="str">
        <f t="shared" si="5"/>
        <v/>
      </c>
      <c r="O11" s="229"/>
      <c r="P11" s="391"/>
    </row>
    <row r="12" spans="1:16" x14ac:dyDescent="0.25">
      <c r="A12" s="51"/>
      <c r="B12" s="387"/>
      <c r="C12" s="385"/>
      <c r="D12" s="389" t="str">
        <f t="shared" si="0"/>
        <v/>
      </c>
      <c r="E12" s="58" t="str">
        <f t="shared" si="1"/>
        <v/>
      </c>
      <c r="F12" s="140"/>
      <c r="G12" s="141"/>
      <c r="H12" s="51"/>
      <c r="I12" s="41" t="str">
        <f t="shared" si="2"/>
        <v/>
      </c>
      <c r="J12" s="111" t="str">
        <f t="shared" si="3"/>
        <v/>
      </c>
      <c r="K12" s="142"/>
      <c r="L12" s="433" t="str">
        <f t="shared" si="4"/>
        <v/>
      </c>
      <c r="M12" s="112" t="str">
        <f t="shared" si="5"/>
        <v/>
      </c>
      <c r="O12" s="390"/>
      <c r="P12" s="391"/>
    </row>
    <row r="13" spans="1:16" x14ac:dyDescent="0.25">
      <c r="A13" s="51"/>
      <c r="B13" s="387"/>
      <c r="C13" s="385"/>
      <c r="D13" s="389" t="str">
        <f t="shared" si="0"/>
        <v/>
      </c>
      <c r="E13" s="58" t="str">
        <f t="shared" si="1"/>
        <v/>
      </c>
      <c r="F13" s="140"/>
      <c r="G13" s="141"/>
      <c r="H13" s="51"/>
      <c r="I13" s="41" t="str">
        <f t="shared" si="2"/>
        <v/>
      </c>
      <c r="J13" s="111" t="str">
        <f t="shared" si="3"/>
        <v/>
      </c>
      <c r="K13" s="142"/>
      <c r="L13" s="433" t="str">
        <f t="shared" si="4"/>
        <v/>
      </c>
      <c r="M13" s="112" t="str">
        <f t="shared" si="5"/>
        <v/>
      </c>
      <c r="O13" s="390"/>
      <c r="P13" s="391"/>
    </row>
    <row r="14" spans="1:16" x14ac:dyDescent="0.25">
      <c r="A14" s="51"/>
      <c r="B14" s="387"/>
      <c r="C14" s="385"/>
      <c r="D14" s="389" t="str">
        <f t="shared" si="0"/>
        <v/>
      </c>
      <c r="E14" s="58" t="str">
        <f t="shared" si="1"/>
        <v/>
      </c>
      <c r="F14" s="140"/>
      <c r="G14" s="141"/>
      <c r="H14" s="51"/>
      <c r="I14" s="41" t="str">
        <f t="shared" si="2"/>
        <v/>
      </c>
      <c r="J14" s="111" t="str">
        <f t="shared" si="3"/>
        <v/>
      </c>
      <c r="K14" s="142"/>
      <c r="L14" s="433" t="str">
        <f t="shared" si="4"/>
        <v/>
      </c>
      <c r="M14" s="112" t="str">
        <f t="shared" si="5"/>
        <v/>
      </c>
      <c r="O14" s="390"/>
      <c r="P14" s="391"/>
    </row>
    <row r="15" spans="1:16" x14ac:dyDescent="0.25">
      <c r="A15" s="51"/>
      <c r="B15" s="387"/>
      <c r="C15" s="385"/>
      <c r="D15" s="389" t="str">
        <f t="shared" si="0"/>
        <v/>
      </c>
      <c r="E15" s="58" t="str">
        <f t="shared" si="1"/>
        <v/>
      </c>
      <c r="F15" s="140"/>
      <c r="G15" s="141"/>
      <c r="H15" s="51"/>
      <c r="I15" s="41" t="str">
        <f t="shared" si="2"/>
        <v/>
      </c>
      <c r="J15" s="111" t="str">
        <f t="shared" si="3"/>
        <v/>
      </c>
      <c r="K15" s="142"/>
      <c r="L15" s="433" t="str">
        <f t="shared" si="4"/>
        <v/>
      </c>
      <c r="M15" s="112" t="str">
        <f t="shared" si="5"/>
        <v/>
      </c>
      <c r="O15" s="390"/>
      <c r="P15" s="391"/>
    </row>
    <row r="16" spans="1:16" x14ac:dyDescent="0.25">
      <c r="A16" s="51"/>
      <c r="B16" s="387"/>
      <c r="C16" s="385"/>
      <c r="D16" s="389" t="str">
        <f t="shared" si="0"/>
        <v/>
      </c>
      <c r="E16" s="58" t="str">
        <f t="shared" si="1"/>
        <v/>
      </c>
      <c r="F16" s="140"/>
      <c r="G16" s="141"/>
      <c r="H16" s="51"/>
      <c r="I16" s="41" t="str">
        <f t="shared" si="2"/>
        <v/>
      </c>
      <c r="J16" s="111" t="str">
        <f t="shared" si="3"/>
        <v/>
      </c>
      <c r="K16" s="142"/>
      <c r="L16" s="433" t="str">
        <f t="shared" si="4"/>
        <v/>
      </c>
      <c r="M16" s="112" t="str">
        <f t="shared" si="5"/>
        <v/>
      </c>
      <c r="O16" s="390"/>
      <c r="P16" s="391"/>
    </row>
    <row r="17" spans="1:16" x14ac:dyDescent="0.25">
      <c r="A17" s="51"/>
      <c r="B17" s="387"/>
      <c r="C17" s="385"/>
      <c r="D17" s="389" t="str">
        <f t="shared" si="0"/>
        <v/>
      </c>
      <c r="E17" s="58" t="str">
        <f t="shared" si="1"/>
        <v/>
      </c>
      <c r="F17" s="140"/>
      <c r="G17" s="141"/>
      <c r="H17" s="51"/>
      <c r="I17" s="113" t="str">
        <f t="shared" si="2"/>
        <v/>
      </c>
      <c r="J17" s="111" t="str">
        <f t="shared" si="3"/>
        <v/>
      </c>
      <c r="K17" s="142"/>
      <c r="L17" s="433" t="str">
        <f t="shared" si="4"/>
        <v/>
      </c>
      <c r="M17" s="112" t="str">
        <f t="shared" si="5"/>
        <v/>
      </c>
      <c r="O17" s="390"/>
      <c r="P17" s="391"/>
    </row>
    <row r="18" spans="1:16" x14ac:dyDescent="0.25">
      <c r="A18" s="51"/>
      <c r="B18" s="387"/>
      <c r="C18" s="385"/>
      <c r="D18" s="389" t="str">
        <f t="shared" si="0"/>
        <v/>
      </c>
      <c r="E18" s="58" t="str">
        <f t="shared" si="1"/>
        <v/>
      </c>
      <c r="F18" s="140"/>
      <c r="G18" s="141"/>
      <c r="H18" s="51"/>
      <c r="I18" s="41" t="str">
        <f t="shared" si="2"/>
        <v/>
      </c>
      <c r="J18" s="111" t="str">
        <f t="shared" si="3"/>
        <v/>
      </c>
      <c r="K18" s="142"/>
      <c r="L18" s="433" t="str">
        <f t="shared" si="4"/>
        <v/>
      </c>
      <c r="M18" s="112" t="str">
        <f t="shared" si="5"/>
        <v/>
      </c>
      <c r="O18" s="390"/>
      <c r="P18" s="391"/>
    </row>
    <row r="19" spans="1:16" x14ac:dyDescent="0.25">
      <c r="A19" s="51"/>
      <c r="B19" s="387"/>
      <c r="C19" s="385"/>
      <c r="D19" s="389" t="str">
        <f t="shared" si="0"/>
        <v/>
      </c>
      <c r="E19" s="58" t="str">
        <f t="shared" si="1"/>
        <v/>
      </c>
      <c r="F19" s="140"/>
      <c r="G19" s="141"/>
      <c r="H19" s="51"/>
      <c r="I19" s="41" t="str">
        <f t="shared" si="2"/>
        <v/>
      </c>
      <c r="J19" s="111" t="str">
        <f t="shared" si="3"/>
        <v/>
      </c>
      <c r="K19" s="142"/>
      <c r="L19" s="433" t="str">
        <f t="shared" si="4"/>
        <v/>
      </c>
      <c r="M19" s="112" t="str">
        <f t="shared" si="5"/>
        <v/>
      </c>
      <c r="O19" s="390"/>
      <c r="P19" s="391"/>
    </row>
    <row r="20" spans="1:16" x14ac:dyDescent="0.25">
      <c r="A20" s="139"/>
      <c r="B20" s="387"/>
      <c r="C20" s="385"/>
      <c r="D20" s="389" t="str">
        <f t="shared" si="0"/>
        <v/>
      </c>
      <c r="E20" s="58" t="str">
        <f t="shared" si="1"/>
        <v/>
      </c>
      <c r="F20" s="140"/>
      <c r="G20" s="141"/>
      <c r="H20" s="51"/>
      <c r="I20" s="41" t="str">
        <f t="shared" si="2"/>
        <v/>
      </c>
      <c r="J20" s="111" t="str">
        <f t="shared" si="3"/>
        <v/>
      </c>
      <c r="K20" s="142"/>
      <c r="L20" s="433" t="str">
        <f t="shared" si="4"/>
        <v/>
      </c>
      <c r="M20" s="112" t="str">
        <f t="shared" si="5"/>
        <v/>
      </c>
      <c r="O20" s="390"/>
      <c r="P20" s="391"/>
    </row>
    <row r="21" spans="1:16" x14ac:dyDescent="0.25">
      <c r="A21" s="139"/>
      <c r="B21" s="387"/>
      <c r="C21" s="385"/>
      <c r="D21" s="389" t="str">
        <f t="shared" si="0"/>
        <v/>
      </c>
      <c r="E21" s="58" t="str">
        <f t="shared" si="1"/>
        <v/>
      </c>
      <c r="F21" s="140"/>
      <c r="G21" s="141"/>
      <c r="H21" s="51"/>
      <c r="I21" s="41" t="str">
        <f t="shared" si="2"/>
        <v/>
      </c>
      <c r="J21" s="111" t="str">
        <f t="shared" si="3"/>
        <v/>
      </c>
      <c r="K21" s="142"/>
      <c r="L21" s="433" t="str">
        <f t="shared" si="4"/>
        <v/>
      </c>
      <c r="M21" s="112" t="str">
        <f t="shared" si="5"/>
        <v/>
      </c>
      <c r="O21" s="390"/>
      <c r="P21" s="391"/>
    </row>
    <row r="22" spans="1:16" x14ac:dyDescent="0.25">
      <c r="A22" s="139"/>
      <c r="B22" s="387"/>
      <c r="C22" s="385"/>
      <c r="D22" s="389" t="str">
        <f t="shared" si="0"/>
        <v/>
      </c>
      <c r="E22" s="58" t="str">
        <f t="shared" si="1"/>
        <v/>
      </c>
      <c r="F22" s="140"/>
      <c r="G22" s="141"/>
      <c r="H22" s="51"/>
      <c r="I22" s="41" t="str">
        <f t="shared" si="2"/>
        <v/>
      </c>
      <c r="J22" s="111" t="str">
        <f t="shared" si="3"/>
        <v/>
      </c>
      <c r="K22" s="142"/>
      <c r="L22" s="433" t="str">
        <f t="shared" si="4"/>
        <v/>
      </c>
      <c r="M22" s="112" t="str">
        <f t="shared" si="5"/>
        <v/>
      </c>
      <c r="O22" s="390"/>
      <c r="P22" s="391"/>
    </row>
    <row r="23" spans="1:16" ht="13.8" thickBot="1" x14ac:dyDescent="0.3">
      <c r="A23" s="139"/>
      <c r="B23" s="387"/>
      <c r="C23" s="385"/>
      <c r="D23" s="389" t="str">
        <f t="shared" si="0"/>
        <v/>
      </c>
      <c r="E23" s="58" t="str">
        <f t="shared" si="1"/>
        <v/>
      </c>
      <c r="F23" s="140"/>
      <c r="G23" s="141"/>
      <c r="H23" s="51"/>
      <c r="I23" s="114" t="str">
        <f t="shared" si="2"/>
        <v/>
      </c>
      <c r="J23" s="111" t="str">
        <f t="shared" si="3"/>
        <v/>
      </c>
      <c r="K23" s="142"/>
      <c r="L23" s="433" t="str">
        <f t="shared" si="4"/>
        <v/>
      </c>
      <c r="M23" s="112" t="str">
        <f t="shared" si="5"/>
        <v/>
      </c>
      <c r="O23" s="390"/>
      <c r="P23" s="391"/>
    </row>
    <row r="24" spans="1:16" ht="13.8" thickBot="1" x14ac:dyDescent="0.3">
      <c r="F24" s="61"/>
      <c r="I24" s="115">
        <f>SUM(I5:I23)</f>
        <v>0</v>
      </c>
      <c r="L24" s="115">
        <f>SUM(L5:L23)</f>
        <v>0</v>
      </c>
      <c r="M24" s="116">
        <f>SUM(M5:M23)</f>
        <v>0</v>
      </c>
    </row>
    <row r="25" spans="1:16" x14ac:dyDescent="0.25">
      <c r="A25" s="2" t="str">
        <f>IF(I24&gt;=0,IF(I24&lt;4800,"Haben Sie alle zuschlagspflichtigen Zeiten berücksichtigt?! - siehe auch Anwenderhandbuch",IF(I24&gt;5200,"Bitte die zuschlagspflichtigen Zeiten überprüfen - sie sind möglicherweise zu hoch - siehe auch Anwenderhandbuch Seite 16","")))</f>
        <v>Haben Sie alle zuschlagspflichtigen Zeiten berücksichtigt?! - siehe auch Anwenderhandbuch</v>
      </c>
      <c r="F25" s="5"/>
    </row>
    <row r="26" spans="1:16" x14ac:dyDescent="0.25">
      <c r="F26" s="5"/>
    </row>
    <row r="27" spans="1:16" x14ac:dyDescent="0.25">
      <c r="A27" s="316" t="s">
        <v>25</v>
      </c>
      <c r="N27" s="2"/>
    </row>
    <row r="28" spans="1:16" x14ac:dyDescent="0.25">
      <c r="A28" s="518"/>
      <c r="B28" s="513"/>
      <c r="C28" s="513"/>
      <c r="E28" s="514" t="s">
        <v>271</v>
      </c>
      <c r="F28" s="514" t="s">
        <v>272</v>
      </c>
      <c r="G28" s="520" t="s">
        <v>273</v>
      </c>
      <c r="H28" s="516" t="s">
        <v>274</v>
      </c>
      <c r="I28" s="516" t="s">
        <v>275</v>
      </c>
    </row>
    <row r="29" spans="1:16" ht="37.5" customHeight="1" x14ac:dyDescent="0.25">
      <c r="A29" s="518"/>
      <c r="B29" s="513"/>
      <c r="C29" s="513"/>
      <c r="E29" s="514"/>
      <c r="F29" s="514"/>
      <c r="G29" s="520"/>
      <c r="H29" s="517"/>
      <c r="I29" s="517"/>
    </row>
    <row r="30" spans="1:16" x14ac:dyDescent="0.25">
      <c r="A30" s="41" t="str">
        <f>IF('PK Zusammenfassung'!A9&gt;0,'PK Zusammenfassung'!A9,"")</f>
        <v/>
      </c>
      <c r="B30" s="225" t="str">
        <f>IF('PK Zusammenfassung'!C9&gt;0,'PK Zusammenfassung'!C9,"")</f>
        <v/>
      </c>
      <c r="C30" s="225" t="str">
        <f>IF('PK Zusammenfassung'!D9&gt;0,'PK Zusammenfassung'!D9,"")</f>
        <v/>
      </c>
      <c r="E30" s="140"/>
      <c r="F30" s="58" t="str">
        <f>IF(E30="","",Kalkulationsblatt!$C$17)</f>
        <v/>
      </c>
      <c r="G30" s="41" t="str">
        <f t="shared" ref="G30:G59" si="6">IF(E30="","",4.348)</f>
        <v/>
      </c>
      <c r="H30" s="117" t="str">
        <f t="shared" ref="H30:H59" si="7">IF(E30="","",ROUND(E30/(F30*G30),2))</f>
        <v/>
      </c>
      <c r="I30" s="117" t="str">
        <f>IF(H30="","",ROUND(('PK Zusammenfassung'!E9*'PK Zeitzuschläge qA'!H30),2))</f>
        <v/>
      </c>
      <c r="K30" s="30" t="s">
        <v>75</v>
      </c>
      <c r="L30" s="30"/>
      <c r="M30" s="30"/>
      <c r="N30" s="95">
        <f>M24</f>
        <v>0</v>
      </c>
    </row>
    <row r="31" spans="1:16" x14ac:dyDescent="0.25">
      <c r="A31" s="41" t="str">
        <f>IF('PK Zusammenfassung'!A10&gt;0,'PK Zusammenfassung'!A10,"")</f>
        <v/>
      </c>
      <c r="B31" s="225" t="str">
        <f>IF('PK Zusammenfassung'!C10&gt;0,'PK Zusammenfassung'!C10,"")</f>
        <v/>
      </c>
      <c r="C31" s="225" t="str">
        <f>IF('PK Zusammenfassung'!D10&gt;0,'PK Zusammenfassung'!D10,"")</f>
        <v/>
      </c>
      <c r="E31" s="140"/>
      <c r="F31" s="58" t="str">
        <f>IF(E31="","",Kalkulationsblatt!$C$17)</f>
        <v/>
      </c>
      <c r="G31" s="41" t="str">
        <f t="shared" si="6"/>
        <v/>
      </c>
      <c r="H31" s="117" t="str">
        <f t="shared" si="7"/>
        <v/>
      </c>
      <c r="I31" s="117" t="str">
        <f>IF(H31="","",ROUND(('PK Zusammenfassung'!E10*'PK Zeitzuschläge qA'!H31),2))</f>
        <v/>
      </c>
      <c r="K31" s="30" t="s">
        <v>76</v>
      </c>
      <c r="L31" s="30"/>
      <c r="M31" s="30"/>
      <c r="N31" s="46">
        <f>I62</f>
        <v>0</v>
      </c>
    </row>
    <row r="32" spans="1:16" x14ac:dyDescent="0.25">
      <c r="A32" s="41" t="str">
        <f>IF('PK Zusammenfassung'!A11&gt;0,'PK Zusammenfassung'!A11,"")</f>
        <v/>
      </c>
      <c r="B32" s="225" t="str">
        <f>IF('PK Zusammenfassung'!C11&gt;0,'PK Zusammenfassung'!C11,"")</f>
        <v/>
      </c>
      <c r="C32" s="225" t="str">
        <f>IF('PK Zusammenfassung'!D11&gt;0,'PK Zusammenfassung'!D11,"")</f>
        <v/>
      </c>
      <c r="E32" s="140"/>
      <c r="F32" s="58" t="str">
        <f>IF(E32="","",Kalkulationsblatt!$C$17)</f>
        <v/>
      </c>
      <c r="G32" s="41" t="str">
        <f t="shared" si="6"/>
        <v/>
      </c>
      <c r="H32" s="117" t="str">
        <f t="shared" si="7"/>
        <v/>
      </c>
      <c r="I32" s="117" t="str">
        <f>IF(H32="","",ROUND(('PK Zusammenfassung'!E11*'PK Zeitzuschläge qA'!H32),2))</f>
        <v/>
      </c>
      <c r="K32" s="63" t="s">
        <v>77</v>
      </c>
      <c r="L32" s="63"/>
      <c r="M32" s="63"/>
      <c r="N32" s="63">
        <v>12</v>
      </c>
    </row>
    <row r="33" spans="1:14" x14ac:dyDescent="0.25">
      <c r="A33" s="41" t="str">
        <f>IF('PK Zusammenfassung'!A12&gt;0,'PK Zusammenfassung'!A12,"")</f>
        <v/>
      </c>
      <c r="B33" s="225" t="str">
        <f>IF('PK Zusammenfassung'!C12&gt;0,'PK Zusammenfassung'!C12,"")</f>
        <v/>
      </c>
      <c r="C33" s="225" t="str">
        <f>IF('PK Zusammenfassung'!D12&gt;0,'PK Zusammenfassung'!D12,"")</f>
        <v/>
      </c>
      <c r="E33" s="140"/>
      <c r="F33" s="58" t="str">
        <f>IF(E33="","",Kalkulationsblatt!$C$17)</f>
        <v/>
      </c>
      <c r="G33" s="41" t="str">
        <f t="shared" si="6"/>
        <v/>
      </c>
      <c r="H33" s="117" t="str">
        <f t="shared" si="7"/>
        <v/>
      </c>
      <c r="I33" s="117" t="str">
        <f>IF(H33="","",ROUND(('PK Zusammenfassung'!E12*'PK Zeitzuschläge qA'!H33),2))</f>
        <v/>
      </c>
      <c r="M33" s="30"/>
    </row>
    <row r="34" spans="1:14" x14ac:dyDescent="0.25">
      <c r="A34" s="41" t="str">
        <f>IF('PK Zusammenfassung'!A13&gt;0,'PK Zusammenfassung'!A13,"")</f>
        <v/>
      </c>
      <c r="B34" s="225" t="str">
        <f>IF('PK Zusammenfassung'!C13&gt;0,'PK Zusammenfassung'!C13,"")</f>
        <v/>
      </c>
      <c r="C34" s="225" t="str">
        <f>IF('PK Zusammenfassung'!D13&gt;0,'PK Zusammenfassung'!D13,"")</f>
        <v/>
      </c>
      <c r="E34" s="140"/>
      <c r="F34" s="58" t="str">
        <f>IF(E34="","",Kalkulationsblatt!$C$17)</f>
        <v/>
      </c>
      <c r="G34" s="41" t="str">
        <f t="shared" si="6"/>
        <v/>
      </c>
      <c r="H34" s="117" t="str">
        <f t="shared" si="7"/>
        <v/>
      </c>
      <c r="I34" s="117" t="str">
        <f>IF(H34="","",ROUND(('PK Zusammenfassung'!E13*'PK Zeitzuschläge qA'!H34),2))</f>
        <v/>
      </c>
      <c r="K34" s="30" t="s">
        <v>78</v>
      </c>
      <c r="L34" s="30"/>
      <c r="M34" s="30"/>
      <c r="N34" s="118">
        <f>IF(N31=0,0,ROUND(N30/N31/N32,2))</f>
        <v>0</v>
      </c>
    </row>
    <row r="35" spans="1:14" x14ac:dyDescent="0.25">
      <c r="A35" s="41" t="str">
        <f>IF('PK Zusammenfassung'!A14&gt;0,'PK Zusammenfassung'!A14,"")</f>
        <v/>
      </c>
      <c r="B35" s="225" t="str">
        <f>IF('PK Zusammenfassung'!C14&gt;0,'PK Zusammenfassung'!C14,"")</f>
        <v/>
      </c>
      <c r="C35" s="225" t="str">
        <f>IF('PK Zusammenfassung'!D14&gt;0,'PK Zusammenfassung'!D14,"")</f>
        <v/>
      </c>
      <c r="E35" s="140"/>
      <c r="F35" s="58" t="str">
        <f>IF(E35="","",Kalkulationsblatt!$C$17)</f>
        <v/>
      </c>
      <c r="G35" s="41" t="str">
        <f t="shared" si="6"/>
        <v/>
      </c>
      <c r="H35" s="117" t="str">
        <f t="shared" si="7"/>
        <v/>
      </c>
      <c r="I35" s="117" t="str">
        <f>IF(H35="","",ROUND(('PK Zusammenfassung'!E14*'PK Zeitzuschläge qA'!H35),2))</f>
        <v/>
      </c>
      <c r="K35" s="30" t="s">
        <v>80</v>
      </c>
      <c r="L35" s="30"/>
      <c r="M35" s="30"/>
      <c r="N35" s="30"/>
    </row>
    <row r="36" spans="1:14" x14ac:dyDescent="0.25">
      <c r="A36" s="41" t="str">
        <f>IF('PK Zusammenfassung'!A15&gt;0,'PK Zusammenfassung'!A15,"")</f>
        <v/>
      </c>
      <c r="B36" s="225" t="str">
        <f>IF('PK Zusammenfassung'!C15&gt;0,'PK Zusammenfassung'!C15,"")</f>
        <v/>
      </c>
      <c r="C36" s="225" t="str">
        <f>IF('PK Zusammenfassung'!D15&gt;0,'PK Zusammenfassung'!D15,"")</f>
        <v/>
      </c>
      <c r="E36" s="140"/>
      <c r="F36" s="58" t="str">
        <f>IF(E36="","",Kalkulationsblatt!$C$17)</f>
        <v/>
      </c>
      <c r="G36" s="41" t="str">
        <f t="shared" si="6"/>
        <v/>
      </c>
      <c r="H36" s="117" t="str">
        <f t="shared" si="7"/>
        <v/>
      </c>
      <c r="I36" s="117" t="str">
        <f>IF(H36="","",ROUND(('PK Zusammenfassung'!E15*'PK Zeitzuschläge qA'!H36),2))</f>
        <v/>
      </c>
      <c r="K36" s="30" t="s">
        <v>81</v>
      </c>
      <c r="L36" s="30"/>
      <c r="M36" s="30"/>
      <c r="N36" s="118">
        <f>G76</f>
        <v>0</v>
      </c>
    </row>
    <row r="37" spans="1:14" ht="13.8" thickBot="1" x14ac:dyDescent="0.3">
      <c r="A37" s="41" t="str">
        <f>IF('PK Zusammenfassung'!A16&gt;0,'PK Zusammenfassung'!A16,"")</f>
        <v/>
      </c>
      <c r="B37" s="225" t="str">
        <f>IF('PK Zusammenfassung'!C16&gt;0,'PK Zusammenfassung'!C16,"")</f>
        <v/>
      </c>
      <c r="C37" s="225" t="str">
        <f>IF('PK Zusammenfassung'!D16&gt;0,'PK Zusammenfassung'!D16,"")</f>
        <v/>
      </c>
      <c r="E37" s="140"/>
      <c r="F37" s="58" t="str">
        <f>IF(E37="","",Kalkulationsblatt!$C$17)</f>
        <v/>
      </c>
      <c r="G37" s="41" t="str">
        <f t="shared" si="6"/>
        <v/>
      </c>
      <c r="H37" s="117" t="str">
        <f t="shared" si="7"/>
        <v/>
      </c>
      <c r="I37" s="117" t="str">
        <f>IF(H37="","",ROUND(('PK Zusammenfassung'!E16*'PK Zeitzuschläge qA'!H37),2))</f>
        <v/>
      </c>
    </row>
    <row r="38" spans="1:14" ht="13.8" thickBot="1" x14ac:dyDescent="0.3">
      <c r="A38" s="41" t="str">
        <f>IF('PK Zusammenfassung'!A17&gt;0,'PK Zusammenfassung'!A17,"")</f>
        <v/>
      </c>
      <c r="B38" s="225" t="str">
        <f>IF('PK Zusammenfassung'!C17&gt;0,'PK Zusammenfassung'!C17,"")</f>
        <v/>
      </c>
      <c r="C38" s="225" t="str">
        <f>IF('PK Zusammenfassung'!D17&gt;0,'PK Zusammenfassung'!D17,"")</f>
        <v/>
      </c>
      <c r="E38" s="140"/>
      <c r="F38" s="58" t="str">
        <f>IF(E38="","",Kalkulationsblatt!$C$17)</f>
        <v/>
      </c>
      <c r="G38" s="41" t="str">
        <f t="shared" si="6"/>
        <v/>
      </c>
      <c r="H38" s="117" t="str">
        <f t="shared" si="7"/>
        <v/>
      </c>
      <c r="I38" s="117" t="str">
        <f>IF(H38="","",ROUND(('PK Zusammenfassung'!E17*'PK Zeitzuschläge qA'!H38),2))</f>
        <v/>
      </c>
      <c r="K38" s="1" t="s">
        <v>89</v>
      </c>
      <c r="N38" s="122">
        <f>IF(N42&gt;0,N42,SUM(N34:N36))</f>
        <v>0</v>
      </c>
    </row>
    <row r="39" spans="1:14" x14ac:dyDescent="0.25">
      <c r="A39" s="41" t="str">
        <f>IF('PK Zusammenfassung'!A18&gt;0,'PK Zusammenfassung'!A18,"")</f>
        <v/>
      </c>
      <c r="B39" s="225" t="str">
        <f>IF('PK Zusammenfassung'!C18&gt;0,'PK Zusammenfassung'!C18,"")</f>
        <v/>
      </c>
      <c r="C39" s="225" t="str">
        <f>IF('PK Zusammenfassung'!D18&gt;0,'PK Zusammenfassung'!D18,"")</f>
        <v/>
      </c>
      <c r="E39" s="140"/>
      <c r="F39" s="58" t="str">
        <f>IF(E39="","",Kalkulationsblatt!$C$17)</f>
        <v/>
      </c>
      <c r="G39" s="41" t="str">
        <f t="shared" si="6"/>
        <v/>
      </c>
      <c r="H39" s="117" t="str">
        <f t="shared" si="7"/>
        <v/>
      </c>
      <c r="I39" s="117" t="str">
        <f>IF(H39="","",ROUND(('PK Zusammenfassung'!E18*'PK Zeitzuschläge qA'!H39),2))</f>
        <v/>
      </c>
      <c r="K39" s="30"/>
      <c r="L39" s="30"/>
    </row>
    <row r="40" spans="1:14" x14ac:dyDescent="0.25">
      <c r="A40" s="41" t="str">
        <f>IF('PK Zusammenfassung'!A19&gt;0,'PK Zusammenfassung'!A19,"")</f>
        <v/>
      </c>
      <c r="B40" s="225" t="str">
        <f>IF('PK Zusammenfassung'!C19&gt;0,'PK Zusammenfassung'!C19,"")</f>
        <v/>
      </c>
      <c r="C40" s="225" t="str">
        <f>IF('PK Zusammenfassung'!D19&gt;0,'PK Zusammenfassung'!D19,"")</f>
        <v/>
      </c>
      <c r="E40" s="140"/>
      <c r="F40" s="58" t="str">
        <f>IF(E40="","",Kalkulationsblatt!$C$17)</f>
        <v/>
      </c>
      <c r="G40" s="41" t="str">
        <f t="shared" si="6"/>
        <v/>
      </c>
      <c r="H40" s="117" t="str">
        <f t="shared" si="7"/>
        <v/>
      </c>
      <c r="I40" s="117" t="str">
        <f>IF(H40="","",ROUND(('PK Zusammenfassung'!E19*'PK Zeitzuschläge qA'!H40),2))</f>
        <v/>
      </c>
      <c r="K40" s="30"/>
      <c r="L40" s="30"/>
    </row>
    <row r="41" spans="1:14" ht="13.8" thickBot="1" x14ac:dyDescent="0.3">
      <c r="A41" s="41" t="str">
        <f>IF('PK Zusammenfassung'!A20&gt;0,'PK Zusammenfassung'!A20,"")</f>
        <v/>
      </c>
      <c r="B41" s="225" t="str">
        <f>IF('PK Zusammenfassung'!C20&gt;0,'PK Zusammenfassung'!C20,"")</f>
        <v/>
      </c>
      <c r="C41" s="225" t="str">
        <f>IF('PK Zusammenfassung'!D20&gt;0,'PK Zusammenfassung'!D20,"")</f>
        <v/>
      </c>
      <c r="E41" s="140"/>
      <c r="F41" s="58" t="str">
        <f>IF(E41="","",Kalkulationsblatt!$C$17)</f>
        <v/>
      </c>
      <c r="G41" s="41" t="str">
        <f t="shared" si="6"/>
        <v/>
      </c>
      <c r="H41" s="117" t="str">
        <f t="shared" si="7"/>
        <v/>
      </c>
      <c r="I41" s="117" t="str">
        <f>IF(H41="","",ROUND(('PK Zusammenfassung'!E20*'PK Zeitzuschläge qA'!H41),2))</f>
        <v/>
      </c>
      <c r="K41" s="1" t="s">
        <v>174</v>
      </c>
    </row>
    <row r="42" spans="1:14" ht="13.8" thickBot="1" x14ac:dyDescent="0.3">
      <c r="A42" s="41" t="str">
        <f>IF('PK Zusammenfassung'!A21&gt;0,'PK Zusammenfassung'!A21,"")</f>
        <v/>
      </c>
      <c r="B42" s="225" t="str">
        <f>IF('PK Zusammenfassung'!C21&gt;0,'PK Zusammenfassung'!C21,"")</f>
        <v/>
      </c>
      <c r="C42" s="225" t="str">
        <f>IF('PK Zusammenfassung'!D21&gt;0,'PK Zusammenfassung'!D21,"")</f>
        <v/>
      </c>
      <c r="E42" s="140"/>
      <c r="F42" s="58" t="str">
        <f>IF(E42="","",Kalkulationsblatt!$C$17)</f>
        <v/>
      </c>
      <c r="G42" s="41" t="str">
        <f t="shared" si="6"/>
        <v/>
      </c>
      <c r="H42" s="117" t="str">
        <f t="shared" si="7"/>
        <v/>
      </c>
      <c r="I42" s="117" t="str">
        <f>IF(H42="","",ROUND(('PK Zusammenfassung'!E21*'PK Zeitzuschläge qA'!H42),2))</f>
        <v/>
      </c>
      <c r="N42" s="317"/>
    </row>
    <row r="43" spans="1:14" x14ac:dyDescent="0.25">
      <c r="A43" s="41" t="str">
        <f>IF('PK Zusammenfassung'!A22&gt;0,'PK Zusammenfassung'!A22,"")</f>
        <v/>
      </c>
      <c r="B43" s="225" t="str">
        <f>IF('PK Zusammenfassung'!C22&gt;0,'PK Zusammenfassung'!C22,"")</f>
        <v/>
      </c>
      <c r="C43" s="225" t="str">
        <f>IF('PK Zusammenfassung'!D22&gt;0,'PK Zusammenfassung'!D22,"")</f>
        <v/>
      </c>
      <c r="E43" s="140"/>
      <c r="F43" s="58" t="str">
        <f>IF(E43="","",Kalkulationsblatt!$C$17)</f>
        <v/>
      </c>
      <c r="G43" s="41" t="str">
        <f t="shared" si="6"/>
        <v/>
      </c>
      <c r="H43" s="117" t="str">
        <f t="shared" si="7"/>
        <v/>
      </c>
      <c r="I43" s="117" t="str">
        <f>IF(H43="","",ROUND(('PK Zusammenfassung'!E22*'PK Zeitzuschläge qA'!H43),2))</f>
        <v/>
      </c>
      <c r="K43" s="30"/>
      <c r="L43" s="30"/>
    </row>
    <row r="44" spans="1:14" x14ac:dyDescent="0.25">
      <c r="A44" s="41" t="str">
        <f>IF('PK Zusammenfassung'!A23&gt;0,'PK Zusammenfassung'!A23,"")</f>
        <v/>
      </c>
      <c r="B44" s="225" t="str">
        <f>IF('PK Zusammenfassung'!C23&gt;0,'PK Zusammenfassung'!C23,"")</f>
        <v/>
      </c>
      <c r="C44" s="225" t="str">
        <f>IF('PK Zusammenfassung'!D23&gt;0,'PK Zusammenfassung'!D23,"")</f>
        <v/>
      </c>
      <c r="E44" s="140"/>
      <c r="F44" s="58" t="str">
        <f>IF(E44="","",Kalkulationsblatt!$C$17)</f>
        <v/>
      </c>
      <c r="G44" s="41" t="str">
        <f t="shared" si="6"/>
        <v/>
      </c>
      <c r="H44" s="117" t="str">
        <f t="shared" si="7"/>
        <v/>
      </c>
      <c r="I44" s="117" t="str">
        <f>IF(H44="","",ROUND(('PK Zusammenfassung'!E23*'PK Zeitzuschläge qA'!H44),2))</f>
        <v/>
      </c>
      <c r="K44" s="30" t="s">
        <v>299</v>
      </c>
      <c r="L44" s="30"/>
      <c r="N44" s="428">
        <f>L24</f>
        <v>0</v>
      </c>
    </row>
    <row r="45" spans="1:14" x14ac:dyDescent="0.25">
      <c r="A45" s="41" t="str">
        <f>IF('PK Zusammenfassung'!A24&gt;0,'PK Zusammenfassung'!A24,"")</f>
        <v/>
      </c>
      <c r="B45" s="225" t="str">
        <f>IF('PK Zusammenfassung'!C24&gt;0,'PK Zusammenfassung'!C24,"")</f>
        <v/>
      </c>
      <c r="C45" s="225" t="str">
        <f>IF('PK Zusammenfassung'!D24&gt;0,'PK Zusammenfassung'!D24,"")</f>
        <v/>
      </c>
      <c r="E45" s="140"/>
      <c r="F45" s="58" t="str">
        <f>IF(E45="","",Kalkulationsblatt!$C$17)</f>
        <v/>
      </c>
      <c r="G45" s="41" t="str">
        <f t="shared" si="6"/>
        <v/>
      </c>
      <c r="H45" s="117" t="str">
        <f t="shared" si="7"/>
        <v/>
      </c>
      <c r="I45" s="117" t="str">
        <f>IF(H45="","",ROUND(('PK Zusammenfassung'!E24*'PK Zeitzuschläge qA'!H45),2))</f>
        <v/>
      </c>
      <c r="K45" s="30" t="s">
        <v>300</v>
      </c>
      <c r="L45" s="30"/>
      <c r="N45" s="429">
        <f>'PK Zusammenfassung'!K8</f>
        <v>0</v>
      </c>
    </row>
    <row r="46" spans="1:14" x14ac:dyDescent="0.25">
      <c r="A46" s="41" t="str">
        <f>IF('PK Zusammenfassung'!A25&gt;0,'PK Zusammenfassung'!A25,"")</f>
        <v/>
      </c>
      <c r="B46" s="225" t="str">
        <f>IF('PK Zusammenfassung'!C25&gt;0,'PK Zusammenfassung'!C25,"")</f>
        <v/>
      </c>
      <c r="C46" s="225" t="str">
        <f>IF('PK Zusammenfassung'!D25&gt;0,'PK Zusammenfassung'!D25,"")</f>
        <v/>
      </c>
      <c r="E46" s="140"/>
      <c r="F46" s="58" t="str">
        <f>IF(E46="","",Kalkulationsblatt!$C$17)</f>
        <v/>
      </c>
      <c r="G46" s="41" t="str">
        <f t="shared" si="6"/>
        <v/>
      </c>
      <c r="H46" s="117" t="str">
        <f t="shared" si="7"/>
        <v/>
      </c>
      <c r="I46" s="117" t="str">
        <f>IF(H46="","",ROUND(('PK Zusammenfassung'!E25*'PK Zeitzuschläge qA'!H46),2))</f>
        <v/>
      </c>
      <c r="K46" s="30" t="s">
        <v>301</v>
      </c>
      <c r="L46" s="30"/>
      <c r="N46" s="430" t="e">
        <f>N44/N45</f>
        <v>#DIV/0!</v>
      </c>
    </row>
    <row r="47" spans="1:14" x14ac:dyDescent="0.25">
      <c r="A47" s="41" t="str">
        <f>IF('PK Zusammenfassung'!A26&gt;0,'PK Zusammenfassung'!A26,"")</f>
        <v/>
      </c>
      <c r="B47" s="225" t="str">
        <f>IF('PK Zusammenfassung'!C26&gt;0,'PK Zusammenfassung'!C26,"")</f>
        <v/>
      </c>
      <c r="C47" s="225" t="str">
        <f>IF('PK Zusammenfassung'!D26&gt;0,'PK Zusammenfassung'!D26,"")</f>
        <v/>
      </c>
      <c r="E47" s="140"/>
      <c r="F47" s="58" t="str">
        <f>IF(E47="","",Kalkulationsblatt!$C$17)</f>
        <v/>
      </c>
      <c r="G47" s="41" t="str">
        <f t="shared" si="6"/>
        <v/>
      </c>
      <c r="H47" s="117" t="str">
        <f t="shared" si="7"/>
        <v/>
      </c>
      <c r="I47" s="117" t="str">
        <f>IF(H47="","",ROUND(('PK Zusammenfassung'!E26*'PK Zeitzuschläge qA'!H47),2))</f>
        <v/>
      </c>
      <c r="K47" s="30"/>
      <c r="L47" s="30"/>
    </row>
    <row r="48" spans="1:14" x14ac:dyDescent="0.25">
      <c r="A48" s="41" t="str">
        <f>IF('PK Zusammenfassung'!A27&gt;0,'PK Zusammenfassung'!A27,"")</f>
        <v/>
      </c>
      <c r="B48" s="225" t="str">
        <f>IF('PK Zusammenfassung'!C27&gt;0,'PK Zusammenfassung'!C27,"")</f>
        <v/>
      </c>
      <c r="C48" s="225" t="str">
        <f>IF('PK Zusammenfassung'!D27&gt;0,'PK Zusammenfassung'!D27,"")</f>
        <v/>
      </c>
      <c r="E48" s="140"/>
      <c r="F48" s="58" t="str">
        <f>IF(E48="","",Kalkulationsblatt!$C$17)</f>
        <v/>
      </c>
      <c r="G48" s="41" t="str">
        <f t="shared" si="6"/>
        <v/>
      </c>
      <c r="H48" s="117" t="str">
        <f t="shared" si="7"/>
        <v/>
      </c>
      <c r="I48" s="117" t="str">
        <f>IF(H48="","",ROUND(('PK Zusammenfassung'!E27*'PK Zeitzuschläge qA'!H48),2))</f>
        <v/>
      </c>
      <c r="K48" s="30"/>
      <c r="L48" s="30"/>
    </row>
    <row r="49" spans="1:12" x14ac:dyDescent="0.25">
      <c r="A49" s="41" t="str">
        <f>IF('PK Zusammenfassung'!A28&gt;0,'PK Zusammenfassung'!A28,"")</f>
        <v/>
      </c>
      <c r="B49" s="225" t="str">
        <f>IF('PK Zusammenfassung'!C28&gt;0,'PK Zusammenfassung'!C28,"")</f>
        <v/>
      </c>
      <c r="C49" s="225" t="str">
        <f>IF('PK Zusammenfassung'!D28&gt;0,'PK Zusammenfassung'!D28,"")</f>
        <v/>
      </c>
      <c r="E49" s="140"/>
      <c r="F49" s="58" t="str">
        <f>IF(E49="","",Kalkulationsblatt!$C$17)</f>
        <v/>
      </c>
      <c r="G49" s="41" t="str">
        <f t="shared" si="6"/>
        <v/>
      </c>
      <c r="H49" s="117" t="str">
        <f t="shared" si="7"/>
        <v/>
      </c>
      <c r="I49" s="117" t="str">
        <f>IF(H49="","",ROUND(('PK Zusammenfassung'!E28*'PK Zeitzuschläge qA'!H49),2))</f>
        <v/>
      </c>
      <c r="K49" s="30"/>
      <c r="L49" s="30"/>
    </row>
    <row r="50" spans="1:12" x14ac:dyDescent="0.25">
      <c r="A50" s="41" t="str">
        <f>IF('PK Zusammenfassung'!A29&gt;0,'PK Zusammenfassung'!A29,"")</f>
        <v/>
      </c>
      <c r="B50" s="225" t="str">
        <f>IF('PK Zusammenfassung'!C29&gt;0,'PK Zusammenfassung'!C29,"")</f>
        <v/>
      </c>
      <c r="C50" s="225" t="str">
        <f>IF('PK Zusammenfassung'!D29&gt;0,'PK Zusammenfassung'!D29,"")</f>
        <v/>
      </c>
      <c r="E50" s="140"/>
      <c r="F50" s="58" t="str">
        <f>IF(E50="","",Kalkulationsblatt!$C$17)</f>
        <v/>
      </c>
      <c r="G50" s="41" t="str">
        <f t="shared" si="6"/>
        <v/>
      </c>
      <c r="H50" s="117" t="str">
        <f t="shared" si="7"/>
        <v/>
      </c>
      <c r="I50" s="117" t="str">
        <f>IF(H50="","",ROUND(('PK Zusammenfassung'!E29*'PK Zeitzuschläge qA'!H50),2))</f>
        <v/>
      </c>
      <c r="K50" s="30"/>
      <c r="L50" s="30"/>
    </row>
    <row r="51" spans="1:12" x14ac:dyDescent="0.25">
      <c r="A51" s="41" t="str">
        <f>IF('PK Zusammenfassung'!A30&gt;0,'PK Zusammenfassung'!A30,"")</f>
        <v/>
      </c>
      <c r="B51" s="225" t="str">
        <f>IF('PK Zusammenfassung'!C30&gt;0,'PK Zusammenfassung'!C30,"")</f>
        <v/>
      </c>
      <c r="C51" s="225" t="str">
        <f>IF('PK Zusammenfassung'!D30&gt;0,'PK Zusammenfassung'!D30,"")</f>
        <v/>
      </c>
      <c r="E51" s="140"/>
      <c r="F51" s="58" t="str">
        <f>IF(E51="","",Kalkulationsblatt!$C$17)</f>
        <v/>
      </c>
      <c r="G51" s="41" t="str">
        <f t="shared" si="6"/>
        <v/>
      </c>
      <c r="H51" s="117" t="str">
        <f t="shared" si="7"/>
        <v/>
      </c>
      <c r="I51" s="117" t="str">
        <f>IF(H51="","",ROUND(('PK Zusammenfassung'!E30*'PK Zeitzuschläge qA'!H51),2))</f>
        <v/>
      </c>
      <c r="K51" s="30"/>
      <c r="L51" s="30"/>
    </row>
    <row r="52" spans="1:12" x14ac:dyDescent="0.25">
      <c r="A52" s="41" t="str">
        <f>IF('PK Zusammenfassung'!A31&gt;0,'PK Zusammenfassung'!A31,"")</f>
        <v/>
      </c>
      <c r="B52" s="225" t="str">
        <f>IF('PK Zusammenfassung'!C31&gt;0,'PK Zusammenfassung'!C31,"")</f>
        <v/>
      </c>
      <c r="C52" s="225" t="str">
        <f>IF('PK Zusammenfassung'!D31&gt;0,'PK Zusammenfassung'!D31,"")</f>
        <v/>
      </c>
      <c r="E52" s="140"/>
      <c r="F52" s="58" t="str">
        <f>IF(E52="","",Kalkulationsblatt!$C$17)</f>
        <v/>
      </c>
      <c r="G52" s="41" t="str">
        <f t="shared" si="6"/>
        <v/>
      </c>
      <c r="H52" s="117" t="str">
        <f t="shared" si="7"/>
        <v/>
      </c>
      <c r="I52" s="117" t="str">
        <f>IF(H52="","",ROUND(('PK Zusammenfassung'!E31*'PK Zeitzuschläge qA'!H52),2))</f>
        <v/>
      </c>
      <c r="K52" s="30"/>
      <c r="L52" s="30"/>
    </row>
    <row r="53" spans="1:12" x14ac:dyDescent="0.25">
      <c r="A53" s="41" t="str">
        <f>IF('PK Zusammenfassung'!A32&gt;0,'PK Zusammenfassung'!A32,"")</f>
        <v/>
      </c>
      <c r="B53" s="225" t="str">
        <f>IF('PK Zusammenfassung'!C32&gt;0,'PK Zusammenfassung'!C32,"")</f>
        <v/>
      </c>
      <c r="C53" s="225" t="str">
        <f>IF('PK Zusammenfassung'!D32&gt;0,'PK Zusammenfassung'!D32,"")</f>
        <v/>
      </c>
      <c r="E53" s="140"/>
      <c r="F53" s="58" t="str">
        <f>IF(E53="","",Kalkulationsblatt!$C$17)</f>
        <v/>
      </c>
      <c r="G53" s="41" t="str">
        <f t="shared" si="6"/>
        <v/>
      </c>
      <c r="H53" s="117" t="str">
        <f t="shared" si="7"/>
        <v/>
      </c>
      <c r="I53" s="117" t="str">
        <f>IF(H53="","",ROUND(('PK Zusammenfassung'!E32*'PK Zeitzuschläge qA'!H53),2))</f>
        <v/>
      </c>
      <c r="K53" s="30"/>
      <c r="L53" s="30"/>
    </row>
    <row r="54" spans="1:12" x14ac:dyDescent="0.25">
      <c r="A54" s="41" t="str">
        <f>IF('PK Zusammenfassung'!A33&gt;0,'PK Zusammenfassung'!A33,"")</f>
        <v/>
      </c>
      <c r="B54" s="225" t="str">
        <f>IF('PK Zusammenfassung'!C33&gt;0,'PK Zusammenfassung'!C33,"")</f>
        <v/>
      </c>
      <c r="C54" s="225" t="str">
        <f>IF('PK Zusammenfassung'!D33&gt;0,'PK Zusammenfassung'!D33,"")</f>
        <v/>
      </c>
      <c r="E54" s="140"/>
      <c r="F54" s="58" t="str">
        <f>IF(E54="","",Kalkulationsblatt!$C$17)</f>
        <v/>
      </c>
      <c r="G54" s="41" t="str">
        <f t="shared" si="6"/>
        <v/>
      </c>
      <c r="H54" s="117" t="str">
        <f t="shared" si="7"/>
        <v/>
      </c>
      <c r="I54" s="117" t="str">
        <f>IF(H54="","",ROUND(('PK Zusammenfassung'!E33*'PK Zeitzuschläge qA'!H54),2))</f>
        <v/>
      </c>
      <c r="K54" s="30"/>
      <c r="L54" s="30"/>
    </row>
    <row r="55" spans="1:12" x14ac:dyDescent="0.25">
      <c r="A55" s="41" t="str">
        <f>IF('PK Zusammenfassung'!A34&gt;0,'PK Zusammenfassung'!A34,"")</f>
        <v/>
      </c>
      <c r="B55" s="225" t="str">
        <f>IF('PK Zusammenfassung'!C34&gt;0,'PK Zusammenfassung'!C34,"")</f>
        <v/>
      </c>
      <c r="C55" s="225" t="str">
        <f>IF('PK Zusammenfassung'!D34&gt;0,'PK Zusammenfassung'!D34,"")</f>
        <v/>
      </c>
      <c r="E55" s="140"/>
      <c r="F55" s="58" t="str">
        <f>IF(E55="","",Kalkulationsblatt!$C$17)</f>
        <v/>
      </c>
      <c r="G55" s="41" t="str">
        <f t="shared" si="6"/>
        <v/>
      </c>
      <c r="H55" s="117" t="str">
        <f t="shared" si="7"/>
        <v/>
      </c>
      <c r="I55" s="117" t="str">
        <f>IF(H55="","",ROUND(('PK Zusammenfassung'!E34*'PK Zeitzuschläge qA'!H55),2))</f>
        <v/>
      </c>
      <c r="K55" s="30"/>
      <c r="L55" s="30"/>
    </row>
    <row r="56" spans="1:12" x14ac:dyDescent="0.25">
      <c r="A56" s="41" t="str">
        <f>IF('PK Zusammenfassung'!A35&gt;0,'PK Zusammenfassung'!A35,"")</f>
        <v/>
      </c>
      <c r="B56" s="225" t="str">
        <f>IF('PK Zusammenfassung'!C35&gt;0,'PK Zusammenfassung'!C35,"")</f>
        <v/>
      </c>
      <c r="C56" s="225" t="str">
        <f>IF('PK Zusammenfassung'!D35&gt;0,'PK Zusammenfassung'!D35,"")</f>
        <v/>
      </c>
      <c r="E56" s="140"/>
      <c r="F56" s="58" t="str">
        <f>IF(E56="","",Kalkulationsblatt!$C$17)</f>
        <v/>
      </c>
      <c r="G56" s="41" t="str">
        <f t="shared" si="6"/>
        <v/>
      </c>
      <c r="H56" s="117" t="str">
        <f t="shared" si="7"/>
        <v/>
      </c>
      <c r="I56" s="117" t="str">
        <f>IF(H56="","",ROUND(('PK Zusammenfassung'!E35*'PK Zeitzuschläge qA'!H56),2))</f>
        <v/>
      </c>
      <c r="K56" s="30"/>
      <c r="L56" s="30"/>
    </row>
    <row r="57" spans="1:12" x14ac:dyDescent="0.25">
      <c r="A57" s="41" t="str">
        <f>IF('PK Zusammenfassung'!A36&gt;0,'PK Zusammenfassung'!A36,"")</f>
        <v/>
      </c>
      <c r="B57" s="225" t="str">
        <f>IF('PK Zusammenfassung'!C36&gt;0,'PK Zusammenfassung'!C36,"")</f>
        <v/>
      </c>
      <c r="C57" s="225" t="str">
        <f>IF('PK Zusammenfassung'!D36&gt;0,'PK Zusammenfassung'!D36,"")</f>
        <v/>
      </c>
      <c r="E57" s="140"/>
      <c r="F57" s="58" t="str">
        <f>IF(E57="","",Kalkulationsblatt!$C$17)</f>
        <v/>
      </c>
      <c r="G57" s="41" t="str">
        <f t="shared" si="6"/>
        <v/>
      </c>
      <c r="H57" s="117" t="str">
        <f t="shared" si="7"/>
        <v/>
      </c>
      <c r="I57" s="117" t="str">
        <f>IF(H57="","",ROUND(('PK Zusammenfassung'!E36*'PK Zeitzuschläge qA'!H57),2))</f>
        <v/>
      </c>
      <c r="K57" s="30"/>
      <c r="L57" s="30"/>
    </row>
    <row r="58" spans="1:12" x14ac:dyDescent="0.25">
      <c r="A58" s="41" t="str">
        <f>IF('PK Zusammenfassung'!A37&gt;0,'PK Zusammenfassung'!A37,"")</f>
        <v/>
      </c>
      <c r="B58" s="225" t="str">
        <f>IF('PK Zusammenfassung'!C37&gt;0,'PK Zusammenfassung'!C37,"")</f>
        <v/>
      </c>
      <c r="C58" s="225" t="str">
        <f>IF('PK Zusammenfassung'!D37&gt;0,'PK Zusammenfassung'!D37,"")</f>
        <v/>
      </c>
      <c r="E58" s="140"/>
      <c r="F58" s="58" t="str">
        <f>IF(E58="","",Kalkulationsblatt!$C$17)</f>
        <v/>
      </c>
      <c r="G58" s="41" t="str">
        <f t="shared" si="6"/>
        <v/>
      </c>
      <c r="H58" s="117" t="str">
        <f t="shared" si="7"/>
        <v/>
      </c>
      <c r="I58" s="117" t="str">
        <f>IF(H58="","",ROUND(('PK Zusammenfassung'!E37*'PK Zeitzuschläge qA'!H58),2))</f>
        <v/>
      </c>
      <c r="K58" s="30"/>
      <c r="L58" s="30"/>
    </row>
    <row r="59" spans="1:12" ht="13.8" thickBot="1" x14ac:dyDescent="0.3">
      <c r="A59" s="41" t="str">
        <f>IF('PK Zusammenfassung'!A38&gt;0,'PK Zusammenfassung'!A38,"")</f>
        <v/>
      </c>
      <c r="B59" s="225" t="str">
        <f>IF('PK Zusammenfassung'!C38&gt;0,'PK Zusammenfassung'!C38,"")</f>
        <v/>
      </c>
      <c r="C59" s="225" t="str">
        <f>IF('PK Zusammenfassung'!D38&gt;0,'PK Zusammenfassung'!D38,"")</f>
        <v/>
      </c>
      <c r="E59" s="140"/>
      <c r="F59" s="58" t="str">
        <f>IF(E59="","",Kalkulationsblatt!$C$17)</f>
        <v/>
      </c>
      <c r="G59" s="41" t="str">
        <f t="shared" si="6"/>
        <v/>
      </c>
      <c r="H59" s="117" t="str">
        <f t="shared" si="7"/>
        <v/>
      </c>
      <c r="I59" s="117" t="str">
        <f>IF(H59="","",ROUND(('PK Zusammenfassung'!E38*'PK Zeitzuschläge qA'!H59),2))</f>
        <v/>
      </c>
    </row>
    <row r="60" spans="1:12" ht="13.8" thickBot="1" x14ac:dyDescent="0.3">
      <c r="A60" s="30"/>
      <c r="B60" s="119"/>
      <c r="C60" s="30"/>
      <c r="H60" s="261" t="s">
        <v>79</v>
      </c>
      <c r="I60" s="120">
        <f>IF(I62=0,0,ROUND(SUM(I30:I59)/I62,2))</f>
        <v>0</v>
      </c>
    </row>
    <row r="61" spans="1:12" ht="13.8" thickBot="1" x14ac:dyDescent="0.3">
      <c r="A61" s="30"/>
      <c r="B61" s="30"/>
      <c r="C61" s="119"/>
      <c r="D61" s="30"/>
      <c r="E61" s="30"/>
      <c r="H61" s="252"/>
      <c r="I61" s="32"/>
    </row>
    <row r="62" spans="1:12" ht="13.8" thickBot="1" x14ac:dyDescent="0.3">
      <c r="A62" s="30"/>
      <c r="B62" s="30"/>
      <c r="C62" s="119"/>
      <c r="D62" s="30"/>
      <c r="H62" s="261" t="s">
        <v>88</v>
      </c>
      <c r="I62" s="121">
        <f>SUM('PK Zusammenfassung'!J9:'PK Zusammenfassung'!J38)+'PK Zusammenfassung'!J43</f>
        <v>0</v>
      </c>
    </row>
    <row r="66" spans="1:10" x14ac:dyDescent="0.25">
      <c r="A66" s="519" t="s">
        <v>277</v>
      </c>
      <c r="B66" s="519"/>
      <c r="C66" s="519"/>
      <c r="D66" s="519"/>
      <c r="E66" s="519"/>
      <c r="F66" s="519"/>
      <c r="G66" s="519"/>
      <c r="H66" s="519"/>
      <c r="I66" s="519"/>
    </row>
    <row r="67" spans="1:10" x14ac:dyDescent="0.25">
      <c r="A67" s="519"/>
      <c r="B67" s="519"/>
      <c r="C67" s="519"/>
      <c r="D67" s="519"/>
      <c r="E67" s="519"/>
      <c r="F67" s="519"/>
      <c r="G67" s="519"/>
      <c r="H67" s="519"/>
      <c r="I67" s="519"/>
    </row>
    <row r="68" spans="1:10" x14ac:dyDescent="0.25">
      <c r="A68" s="519"/>
      <c r="B68" s="519"/>
      <c r="C68" s="519"/>
      <c r="D68" s="519"/>
      <c r="E68" s="519"/>
      <c r="F68" s="519"/>
      <c r="G68" s="519"/>
      <c r="H68" s="519"/>
      <c r="I68" s="519"/>
    </row>
    <row r="69" spans="1:10" x14ac:dyDescent="0.25">
      <c r="A69" s="519"/>
      <c r="B69" s="519"/>
      <c r="C69" s="519"/>
      <c r="D69" s="519"/>
      <c r="E69" s="519"/>
      <c r="F69" s="519"/>
      <c r="G69" s="519"/>
      <c r="H69" s="519"/>
      <c r="I69" s="519"/>
    </row>
    <row r="71" spans="1:10" x14ac:dyDescent="0.25">
      <c r="A71" s="123" t="s">
        <v>82</v>
      </c>
    </row>
    <row r="72" spans="1:10" x14ac:dyDescent="0.25">
      <c r="D72" s="15"/>
    </row>
    <row r="73" spans="1:10" x14ac:dyDescent="0.25">
      <c r="A73" s="319"/>
      <c r="B73" s="124"/>
      <c r="C73" s="124"/>
      <c r="E73" s="125"/>
      <c r="F73" s="125"/>
      <c r="G73" s="125"/>
      <c r="H73" s="126"/>
      <c r="I73" s="143"/>
    </row>
    <row r="74" spans="1:10" x14ac:dyDescent="0.25">
      <c r="A74" s="342" t="s">
        <v>152</v>
      </c>
      <c r="B74" s="128" t="s">
        <v>83</v>
      </c>
      <c r="C74" s="129" t="s">
        <v>84</v>
      </c>
      <c r="D74" s="130"/>
      <c r="E74" s="270" t="s">
        <v>85</v>
      </c>
      <c r="F74" s="129" t="s">
        <v>86</v>
      </c>
      <c r="G74" s="131" t="s">
        <v>51</v>
      </c>
      <c r="H74" s="126"/>
      <c r="I74" s="127"/>
    </row>
    <row r="75" spans="1:10" ht="13.8" thickBot="1" x14ac:dyDescent="0.3">
      <c r="A75" s="342" t="s">
        <v>276</v>
      </c>
      <c r="B75" s="128">
        <v>67</v>
      </c>
      <c r="C75" s="274">
        <f>$N$34</f>
        <v>0</v>
      </c>
      <c r="D75" s="132"/>
      <c r="E75" s="133">
        <v>30.416666666666668</v>
      </c>
      <c r="F75" s="273">
        <f>C75/E75</f>
        <v>0</v>
      </c>
      <c r="G75" s="272">
        <f>ROUND(B75*F75,2)</f>
        <v>0</v>
      </c>
      <c r="H75" s="134"/>
      <c r="I75" s="135"/>
    </row>
    <row r="76" spans="1:10" ht="13.8" thickBot="1" x14ac:dyDescent="0.3">
      <c r="A76" s="136" t="s">
        <v>87</v>
      </c>
      <c r="B76" s="137"/>
      <c r="C76" s="137"/>
      <c r="E76" s="136"/>
      <c r="F76" s="136"/>
      <c r="G76" s="271">
        <f>ROUND(G75/12,2)</f>
        <v>0</v>
      </c>
      <c r="H76" s="138"/>
      <c r="I76" s="138"/>
      <c r="J76" s="108"/>
    </row>
  </sheetData>
  <sheetProtection algorithmName="SHA-512" hashValue="sFnB8QDF3On2A7AA3xtAr2SnUt85X0G1/gf2dKjZDjKzpixXCHFFBYgCoTr8xkpthUwPZMeQTMxyq8xdMst8rA==" saltValue="/2EKBBKylkW/N44XV0bC8A==" spinCount="100000" sheet="1" objects="1" scenarios="1" formatCells="0"/>
  <mergeCells count="20">
    <mergeCell ref="A66:I69"/>
    <mergeCell ref="A28:A29"/>
    <mergeCell ref="E28:E29"/>
    <mergeCell ref="F28:F29"/>
    <mergeCell ref="G28:G29"/>
    <mergeCell ref="H28:H29"/>
    <mergeCell ref="O3:O4"/>
    <mergeCell ref="P3:P4"/>
    <mergeCell ref="C28:C29"/>
    <mergeCell ref="B28:B29"/>
    <mergeCell ref="K3:K4"/>
    <mergeCell ref="M3:M4"/>
    <mergeCell ref="I28:I29"/>
    <mergeCell ref="B3:C3"/>
    <mergeCell ref="E3:E4"/>
    <mergeCell ref="F3:G3"/>
    <mergeCell ref="H3:H4"/>
    <mergeCell ref="I3:I4"/>
    <mergeCell ref="J3:J4"/>
    <mergeCell ref="L3:L4"/>
  </mergeCells>
  <pageMargins left="0.7" right="0.7" top="0.78740157499999996" bottom="0.78740157499999996" header="0.3" footer="0.3"/>
  <pageSetup paperSize="9" scale="81" orientation="landscape" r:id="rId1"/>
  <headerFooter>
    <oddFooter>&amp;L&amp;"Arial,Standard"&amp;8Datum des Ausdrucks
&amp;D&amp;C&amp;"Arial,Standard"&amp;8Kalkulationsdatei Assistenzleistungen 
Rahmenvertrag 3 Version 1.0&amp;R&amp;"Arial,Standard"&amp;8 PK Zeitzuschläge qA
Seite &amp;P von &amp;N</oddFooter>
  </headerFooter>
  <rowBreaks count="1" manualBreakCount="1">
    <brk id="42" max="16383" man="1"/>
  </rowBreaks>
  <colBreaks count="1" manualBreakCount="1">
    <brk id="14"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P76"/>
  <sheetViews>
    <sheetView showGridLines="0" topLeftCell="A48" zoomScaleNormal="100" zoomScaleSheetLayoutView="50" zoomScalePageLayoutView="80" workbookViewId="0">
      <selection activeCell="B76" sqref="B76"/>
    </sheetView>
  </sheetViews>
  <sheetFormatPr baseColWidth="10" defaultColWidth="11.44140625" defaultRowHeight="13.2" x14ac:dyDescent="0.25"/>
  <cols>
    <col min="1" max="1" width="28.5546875" style="1" customWidth="1"/>
    <col min="2" max="2" width="8.6640625" style="1" customWidth="1"/>
    <col min="3" max="3" width="9.5546875" style="1" customWidth="1"/>
    <col min="4" max="4" width="11.44140625" style="1" hidden="1" customWidth="1"/>
    <col min="5" max="6" width="11.44140625" style="1"/>
    <col min="7" max="7" width="12.109375" style="1" customWidth="1"/>
    <col min="8" max="8" width="11.44140625" style="1"/>
    <col min="9" max="9" width="12.44140625" style="1" customWidth="1"/>
    <col min="10" max="10" width="14.6640625" style="1" customWidth="1"/>
    <col min="11" max="12" width="10.5546875" style="1" customWidth="1"/>
    <col min="13" max="13" width="14.5546875" style="1" customWidth="1"/>
    <col min="14" max="14" width="13.5546875" style="1" customWidth="1"/>
    <col min="15" max="16" width="26.6640625" style="1" customWidth="1"/>
    <col min="17" max="16384" width="11.44140625" style="1"/>
  </cols>
  <sheetData>
    <row r="1" spans="1:16" x14ac:dyDescent="0.25">
      <c r="A1" s="3"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row>
    <row r="3" spans="1:16" x14ac:dyDescent="0.25">
      <c r="A3" s="109" t="s">
        <v>65</v>
      </c>
      <c r="B3" s="518" t="s">
        <v>66</v>
      </c>
      <c r="C3" s="518"/>
      <c r="D3" s="41"/>
      <c r="E3" s="515" t="s">
        <v>67</v>
      </c>
      <c r="F3" s="518" t="s">
        <v>68</v>
      </c>
      <c r="G3" s="518"/>
      <c r="H3" s="516" t="s">
        <v>269</v>
      </c>
      <c r="I3" s="516" t="s">
        <v>270</v>
      </c>
      <c r="J3" s="518" t="s">
        <v>69</v>
      </c>
      <c r="K3" s="514" t="s">
        <v>70</v>
      </c>
      <c r="L3" s="516" t="s">
        <v>302</v>
      </c>
      <c r="M3" s="515" t="s">
        <v>51</v>
      </c>
      <c r="O3" s="477" t="s">
        <v>241</v>
      </c>
      <c r="P3" s="477" t="s">
        <v>242</v>
      </c>
    </row>
    <row r="4" spans="1:16" x14ac:dyDescent="0.25">
      <c r="B4" s="110" t="s">
        <v>71</v>
      </c>
      <c r="C4" s="110" t="s">
        <v>72</v>
      </c>
      <c r="D4" s="41"/>
      <c r="E4" s="515"/>
      <c r="F4" s="107" t="s">
        <v>73</v>
      </c>
      <c r="G4" s="107" t="s">
        <v>74</v>
      </c>
      <c r="H4" s="517"/>
      <c r="I4" s="517"/>
      <c r="J4" s="518"/>
      <c r="K4" s="514"/>
      <c r="L4" s="517"/>
      <c r="M4" s="515"/>
      <c r="O4" s="477"/>
      <c r="P4" s="477"/>
    </row>
    <row r="5" spans="1:16" x14ac:dyDescent="0.25">
      <c r="A5" s="290"/>
      <c r="B5" s="388"/>
      <c r="C5" s="386"/>
      <c r="D5" s="389" t="str">
        <f t="shared" ref="D5:D23" si="0">IF(OR(B5="",C5=""),"",IF(C5&gt;B5,C5-B5,1+C5-B5))</f>
        <v/>
      </c>
      <c r="E5" s="58" t="str">
        <f t="shared" ref="E5:E23" si="1">IF(D5="","",D5*24)</f>
        <v/>
      </c>
      <c r="F5" s="297"/>
      <c r="G5" s="299"/>
      <c r="H5" s="290"/>
      <c r="I5" s="41" t="str">
        <f t="shared" ref="I5:I23" si="2">IF(H5&gt;0,E5*H5,"")</f>
        <v/>
      </c>
      <c r="J5" s="111" t="str">
        <f t="shared" ref="J5:J23" si="3">IF(I5="","",IF(AND(F5&gt;0,G5&gt;0),"FEHLER",IF(F5&gt;0,F5*I5,$I$60*G5*I5)))</f>
        <v/>
      </c>
      <c r="K5" s="300"/>
      <c r="L5" s="433" t="str">
        <f t="shared" ref="L5:L23" si="4">IF(H5&gt;0,I5*K5,"")</f>
        <v/>
      </c>
      <c r="M5" s="112" t="str">
        <f t="shared" ref="M5:M23" si="5">IF(J5="","",J5*K5)</f>
        <v/>
      </c>
      <c r="O5" s="392"/>
      <c r="P5" s="341"/>
    </row>
    <row r="6" spans="1:16" x14ac:dyDescent="0.25">
      <c r="A6" s="290"/>
      <c r="B6" s="388"/>
      <c r="C6" s="386"/>
      <c r="D6" s="389" t="str">
        <f t="shared" si="0"/>
        <v/>
      </c>
      <c r="E6" s="58" t="str">
        <f t="shared" si="1"/>
        <v/>
      </c>
      <c r="F6" s="297"/>
      <c r="G6" s="299"/>
      <c r="H6" s="290"/>
      <c r="I6" s="41" t="str">
        <f t="shared" si="2"/>
        <v/>
      </c>
      <c r="J6" s="111" t="str">
        <f t="shared" si="3"/>
        <v/>
      </c>
      <c r="K6" s="300"/>
      <c r="L6" s="433" t="str">
        <f t="shared" si="4"/>
        <v/>
      </c>
      <c r="M6" s="112" t="str">
        <f t="shared" si="5"/>
        <v/>
      </c>
      <c r="O6" s="392"/>
      <c r="P6" s="341"/>
    </row>
    <row r="7" spans="1:16" x14ac:dyDescent="0.25">
      <c r="A7" s="290"/>
      <c r="B7" s="388"/>
      <c r="C7" s="386"/>
      <c r="D7" s="389" t="str">
        <f t="shared" si="0"/>
        <v/>
      </c>
      <c r="E7" s="58" t="str">
        <f t="shared" si="1"/>
        <v/>
      </c>
      <c r="F7" s="297"/>
      <c r="G7" s="299"/>
      <c r="H7" s="290"/>
      <c r="I7" s="41" t="str">
        <f t="shared" si="2"/>
        <v/>
      </c>
      <c r="J7" s="111" t="str">
        <f t="shared" si="3"/>
        <v/>
      </c>
      <c r="K7" s="300"/>
      <c r="L7" s="433" t="str">
        <f t="shared" si="4"/>
        <v/>
      </c>
      <c r="M7" s="112" t="str">
        <f t="shared" si="5"/>
        <v/>
      </c>
      <c r="O7" s="392"/>
      <c r="P7" s="341"/>
    </row>
    <row r="8" spans="1:16" x14ac:dyDescent="0.25">
      <c r="A8" s="290"/>
      <c r="B8" s="388"/>
      <c r="C8" s="386"/>
      <c r="D8" s="389" t="str">
        <f t="shared" si="0"/>
        <v/>
      </c>
      <c r="E8" s="58" t="str">
        <f t="shared" si="1"/>
        <v/>
      </c>
      <c r="F8" s="297"/>
      <c r="G8" s="299"/>
      <c r="H8" s="290"/>
      <c r="I8" s="41" t="str">
        <f t="shared" si="2"/>
        <v/>
      </c>
      <c r="J8" s="111" t="str">
        <f t="shared" si="3"/>
        <v/>
      </c>
      <c r="K8" s="300"/>
      <c r="L8" s="433" t="str">
        <f t="shared" si="4"/>
        <v/>
      </c>
      <c r="M8" s="112" t="str">
        <f t="shared" si="5"/>
        <v/>
      </c>
      <c r="O8" s="392"/>
      <c r="P8" s="341"/>
    </row>
    <row r="9" spans="1:16" x14ac:dyDescent="0.25">
      <c r="A9" s="290"/>
      <c r="B9" s="388"/>
      <c r="C9" s="386"/>
      <c r="D9" s="389" t="str">
        <f t="shared" si="0"/>
        <v/>
      </c>
      <c r="E9" s="58" t="str">
        <f t="shared" si="1"/>
        <v/>
      </c>
      <c r="F9" s="297"/>
      <c r="G9" s="299"/>
      <c r="H9" s="290"/>
      <c r="I9" s="41" t="str">
        <f t="shared" si="2"/>
        <v/>
      </c>
      <c r="J9" s="111" t="str">
        <f t="shared" si="3"/>
        <v/>
      </c>
      <c r="K9" s="300"/>
      <c r="L9" s="433" t="str">
        <f t="shared" si="4"/>
        <v/>
      </c>
      <c r="M9" s="112" t="str">
        <f t="shared" si="5"/>
        <v/>
      </c>
      <c r="O9" s="392"/>
      <c r="P9" s="341"/>
    </row>
    <row r="10" spans="1:16" x14ac:dyDescent="0.25">
      <c r="A10" s="290"/>
      <c r="B10" s="388"/>
      <c r="C10" s="386"/>
      <c r="D10" s="389" t="str">
        <f t="shared" si="0"/>
        <v/>
      </c>
      <c r="E10" s="58" t="str">
        <f t="shared" si="1"/>
        <v/>
      </c>
      <c r="F10" s="297"/>
      <c r="G10" s="299"/>
      <c r="H10" s="290"/>
      <c r="I10" s="41" t="str">
        <f t="shared" si="2"/>
        <v/>
      </c>
      <c r="J10" s="111" t="str">
        <f t="shared" si="3"/>
        <v/>
      </c>
      <c r="K10" s="300"/>
      <c r="L10" s="433" t="str">
        <f t="shared" si="4"/>
        <v/>
      </c>
      <c r="M10" s="112" t="str">
        <f t="shared" si="5"/>
        <v/>
      </c>
      <c r="O10" s="392"/>
      <c r="P10" s="341"/>
    </row>
    <row r="11" spans="1:16" x14ac:dyDescent="0.25">
      <c r="A11" s="290"/>
      <c r="B11" s="388"/>
      <c r="C11" s="386"/>
      <c r="D11" s="389" t="str">
        <f t="shared" si="0"/>
        <v/>
      </c>
      <c r="E11" s="58" t="str">
        <f t="shared" si="1"/>
        <v/>
      </c>
      <c r="F11" s="297"/>
      <c r="G11" s="299"/>
      <c r="H11" s="290"/>
      <c r="I11" s="41" t="str">
        <f t="shared" si="2"/>
        <v/>
      </c>
      <c r="J11" s="111" t="str">
        <f t="shared" si="3"/>
        <v/>
      </c>
      <c r="K11" s="300"/>
      <c r="L11" s="433" t="str">
        <f t="shared" si="4"/>
        <v/>
      </c>
      <c r="M11" s="112" t="str">
        <f t="shared" si="5"/>
        <v/>
      </c>
      <c r="O11" s="392"/>
      <c r="P11" s="341"/>
    </row>
    <row r="12" spans="1:16" x14ac:dyDescent="0.25">
      <c r="A12" s="290"/>
      <c r="B12" s="388"/>
      <c r="C12" s="386"/>
      <c r="D12" s="389" t="str">
        <f t="shared" si="0"/>
        <v/>
      </c>
      <c r="E12" s="58" t="str">
        <f t="shared" si="1"/>
        <v/>
      </c>
      <c r="F12" s="297"/>
      <c r="G12" s="299"/>
      <c r="H12" s="290"/>
      <c r="I12" s="41" t="str">
        <f t="shared" si="2"/>
        <v/>
      </c>
      <c r="J12" s="111" t="str">
        <f t="shared" si="3"/>
        <v/>
      </c>
      <c r="K12" s="300"/>
      <c r="L12" s="433" t="str">
        <f t="shared" si="4"/>
        <v/>
      </c>
      <c r="M12" s="112" t="str">
        <f t="shared" si="5"/>
        <v/>
      </c>
      <c r="O12" s="392"/>
      <c r="P12" s="341"/>
    </row>
    <row r="13" spans="1:16" x14ac:dyDescent="0.25">
      <c r="A13" s="290"/>
      <c r="B13" s="388"/>
      <c r="C13" s="386"/>
      <c r="D13" s="389" t="str">
        <f t="shared" si="0"/>
        <v/>
      </c>
      <c r="E13" s="58" t="str">
        <f t="shared" si="1"/>
        <v/>
      </c>
      <c r="F13" s="297"/>
      <c r="G13" s="299"/>
      <c r="H13" s="290"/>
      <c r="I13" s="41" t="str">
        <f t="shared" si="2"/>
        <v/>
      </c>
      <c r="J13" s="111" t="str">
        <f t="shared" si="3"/>
        <v/>
      </c>
      <c r="K13" s="300"/>
      <c r="L13" s="433" t="str">
        <f t="shared" si="4"/>
        <v/>
      </c>
      <c r="M13" s="112" t="str">
        <f t="shared" si="5"/>
        <v/>
      </c>
      <c r="O13" s="392"/>
      <c r="P13" s="341"/>
    </row>
    <row r="14" spans="1:16" x14ac:dyDescent="0.25">
      <c r="A14" s="290"/>
      <c r="B14" s="388"/>
      <c r="C14" s="386"/>
      <c r="D14" s="389" t="str">
        <f t="shared" si="0"/>
        <v/>
      </c>
      <c r="E14" s="58" t="str">
        <f t="shared" si="1"/>
        <v/>
      </c>
      <c r="F14" s="297"/>
      <c r="G14" s="299"/>
      <c r="H14" s="290"/>
      <c r="I14" s="41" t="str">
        <f t="shared" si="2"/>
        <v/>
      </c>
      <c r="J14" s="111" t="str">
        <f t="shared" si="3"/>
        <v/>
      </c>
      <c r="K14" s="300"/>
      <c r="L14" s="433" t="str">
        <f t="shared" si="4"/>
        <v/>
      </c>
      <c r="M14" s="112" t="str">
        <f t="shared" si="5"/>
        <v/>
      </c>
      <c r="O14" s="392"/>
      <c r="P14" s="341"/>
    </row>
    <row r="15" spans="1:16" x14ac:dyDescent="0.25">
      <c r="A15" s="290"/>
      <c r="B15" s="388"/>
      <c r="C15" s="386"/>
      <c r="D15" s="389" t="str">
        <f t="shared" si="0"/>
        <v/>
      </c>
      <c r="E15" s="58" t="str">
        <f t="shared" si="1"/>
        <v/>
      </c>
      <c r="F15" s="297"/>
      <c r="G15" s="299"/>
      <c r="H15" s="290"/>
      <c r="I15" s="41" t="str">
        <f t="shared" si="2"/>
        <v/>
      </c>
      <c r="J15" s="111" t="str">
        <f t="shared" si="3"/>
        <v/>
      </c>
      <c r="K15" s="300"/>
      <c r="L15" s="433" t="str">
        <f t="shared" si="4"/>
        <v/>
      </c>
      <c r="M15" s="112" t="str">
        <f t="shared" si="5"/>
        <v/>
      </c>
      <c r="O15" s="392"/>
      <c r="P15" s="341"/>
    </row>
    <row r="16" spans="1:16" x14ac:dyDescent="0.25">
      <c r="A16" s="290"/>
      <c r="B16" s="388"/>
      <c r="C16" s="386"/>
      <c r="D16" s="389" t="str">
        <f t="shared" si="0"/>
        <v/>
      </c>
      <c r="E16" s="58" t="str">
        <f t="shared" si="1"/>
        <v/>
      </c>
      <c r="F16" s="297"/>
      <c r="G16" s="299"/>
      <c r="H16" s="290"/>
      <c r="I16" s="41" t="str">
        <f t="shared" si="2"/>
        <v/>
      </c>
      <c r="J16" s="111" t="str">
        <f t="shared" si="3"/>
        <v/>
      </c>
      <c r="K16" s="300"/>
      <c r="L16" s="433" t="str">
        <f t="shared" si="4"/>
        <v/>
      </c>
      <c r="M16" s="112" t="str">
        <f t="shared" si="5"/>
        <v/>
      </c>
      <c r="O16" s="392"/>
      <c r="P16" s="341"/>
    </row>
    <row r="17" spans="1:16" x14ac:dyDescent="0.25">
      <c r="A17" s="290"/>
      <c r="B17" s="388"/>
      <c r="C17" s="386"/>
      <c r="D17" s="389" t="str">
        <f t="shared" si="0"/>
        <v/>
      </c>
      <c r="E17" s="58" t="str">
        <f t="shared" si="1"/>
        <v/>
      </c>
      <c r="F17" s="297"/>
      <c r="G17" s="299"/>
      <c r="H17" s="290"/>
      <c r="I17" s="113" t="str">
        <f t="shared" si="2"/>
        <v/>
      </c>
      <c r="J17" s="111" t="str">
        <f t="shared" si="3"/>
        <v/>
      </c>
      <c r="K17" s="300"/>
      <c r="L17" s="433" t="str">
        <f t="shared" si="4"/>
        <v/>
      </c>
      <c r="M17" s="112" t="str">
        <f t="shared" si="5"/>
        <v/>
      </c>
      <c r="O17" s="392"/>
      <c r="P17" s="341"/>
    </row>
    <row r="18" spans="1:16" x14ac:dyDescent="0.25">
      <c r="A18" s="290"/>
      <c r="B18" s="388"/>
      <c r="C18" s="386"/>
      <c r="D18" s="389" t="str">
        <f t="shared" si="0"/>
        <v/>
      </c>
      <c r="E18" s="58" t="str">
        <f t="shared" si="1"/>
        <v/>
      </c>
      <c r="F18" s="297"/>
      <c r="G18" s="299"/>
      <c r="H18" s="290"/>
      <c r="I18" s="41" t="str">
        <f t="shared" si="2"/>
        <v/>
      </c>
      <c r="J18" s="111" t="str">
        <f t="shared" si="3"/>
        <v/>
      </c>
      <c r="K18" s="300"/>
      <c r="L18" s="433" t="str">
        <f t="shared" si="4"/>
        <v/>
      </c>
      <c r="M18" s="112" t="str">
        <f t="shared" si="5"/>
        <v/>
      </c>
      <c r="O18" s="392"/>
      <c r="P18" s="341"/>
    </row>
    <row r="19" spans="1:16" x14ac:dyDescent="0.25">
      <c r="A19" s="290"/>
      <c r="B19" s="388"/>
      <c r="C19" s="386"/>
      <c r="D19" s="389" t="str">
        <f t="shared" si="0"/>
        <v/>
      </c>
      <c r="E19" s="58" t="str">
        <f t="shared" si="1"/>
        <v/>
      </c>
      <c r="F19" s="297"/>
      <c r="G19" s="299"/>
      <c r="H19" s="290"/>
      <c r="I19" s="41" t="str">
        <f t="shared" si="2"/>
        <v/>
      </c>
      <c r="J19" s="111" t="str">
        <f t="shared" si="3"/>
        <v/>
      </c>
      <c r="K19" s="300"/>
      <c r="L19" s="433" t="str">
        <f t="shared" si="4"/>
        <v/>
      </c>
      <c r="M19" s="112" t="str">
        <f t="shared" si="5"/>
        <v/>
      </c>
      <c r="O19" s="392"/>
      <c r="P19" s="341"/>
    </row>
    <row r="20" spans="1:16" x14ac:dyDescent="0.25">
      <c r="A20" s="298"/>
      <c r="B20" s="388"/>
      <c r="C20" s="386"/>
      <c r="D20" s="389" t="str">
        <f t="shared" si="0"/>
        <v/>
      </c>
      <c r="E20" s="58" t="str">
        <f t="shared" si="1"/>
        <v/>
      </c>
      <c r="F20" s="297"/>
      <c r="G20" s="299"/>
      <c r="H20" s="290"/>
      <c r="I20" s="41" t="str">
        <f t="shared" si="2"/>
        <v/>
      </c>
      <c r="J20" s="111" t="str">
        <f t="shared" si="3"/>
        <v/>
      </c>
      <c r="K20" s="300"/>
      <c r="L20" s="433" t="str">
        <f t="shared" si="4"/>
        <v/>
      </c>
      <c r="M20" s="112" t="str">
        <f t="shared" si="5"/>
        <v/>
      </c>
      <c r="O20" s="392"/>
      <c r="P20" s="341"/>
    </row>
    <row r="21" spans="1:16" x14ac:dyDescent="0.25">
      <c r="A21" s="298"/>
      <c r="B21" s="388"/>
      <c r="C21" s="386"/>
      <c r="D21" s="389" t="str">
        <f t="shared" si="0"/>
        <v/>
      </c>
      <c r="E21" s="58" t="str">
        <f t="shared" si="1"/>
        <v/>
      </c>
      <c r="F21" s="297"/>
      <c r="G21" s="299"/>
      <c r="H21" s="290"/>
      <c r="I21" s="41" t="str">
        <f t="shared" si="2"/>
        <v/>
      </c>
      <c r="J21" s="111" t="str">
        <f t="shared" si="3"/>
        <v/>
      </c>
      <c r="K21" s="300"/>
      <c r="L21" s="433" t="str">
        <f t="shared" si="4"/>
        <v/>
      </c>
      <c r="M21" s="112" t="str">
        <f t="shared" si="5"/>
        <v/>
      </c>
      <c r="O21" s="392"/>
      <c r="P21" s="341"/>
    </row>
    <row r="22" spans="1:16" x14ac:dyDescent="0.25">
      <c r="A22" s="298"/>
      <c r="B22" s="388"/>
      <c r="C22" s="386"/>
      <c r="D22" s="389" t="str">
        <f t="shared" si="0"/>
        <v/>
      </c>
      <c r="E22" s="58" t="str">
        <f t="shared" si="1"/>
        <v/>
      </c>
      <c r="F22" s="297"/>
      <c r="G22" s="299"/>
      <c r="H22" s="290"/>
      <c r="I22" s="41" t="str">
        <f t="shared" si="2"/>
        <v/>
      </c>
      <c r="J22" s="111" t="str">
        <f t="shared" si="3"/>
        <v/>
      </c>
      <c r="K22" s="300"/>
      <c r="L22" s="433" t="str">
        <f t="shared" si="4"/>
        <v/>
      </c>
      <c r="M22" s="112" t="str">
        <f t="shared" si="5"/>
        <v/>
      </c>
      <c r="O22" s="392"/>
      <c r="P22" s="341"/>
    </row>
    <row r="23" spans="1:16" ht="13.8" thickBot="1" x14ac:dyDescent="0.3">
      <c r="A23" s="298"/>
      <c r="B23" s="388"/>
      <c r="C23" s="386"/>
      <c r="D23" s="389" t="str">
        <f t="shared" si="0"/>
        <v/>
      </c>
      <c r="E23" s="58" t="str">
        <f t="shared" si="1"/>
        <v/>
      </c>
      <c r="F23" s="297"/>
      <c r="G23" s="299"/>
      <c r="H23" s="290"/>
      <c r="I23" s="114" t="str">
        <f t="shared" si="2"/>
        <v/>
      </c>
      <c r="J23" s="111" t="str">
        <f t="shared" si="3"/>
        <v/>
      </c>
      <c r="K23" s="300"/>
      <c r="L23" s="433" t="str">
        <f t="shared" si="4"/>
        <v/>
      </c>
      <c r="M23" s="112" t="str">
        <f t="shared" si="5"/>
        <v/>
      </c>
      <c r="O23" s="392"/>
      <c r="P23" s="341"/>
    </row>
    <row r="24" spans="1:16" ht="13.8" thickBot="1" x14ac:dyDescent="0.3">
      <c r="F24" s="61"/>
      <c r="I24" s="115">
        <f>SUM(I5:I23)</f>
        <v>0</v>
      </c>
      <c r="L24" s="115">
        <f>SUM(L5:L23)</f>
        <v>0</v>
      </c>
      <c r="M24" s="116">
        <f>SUM(M5:M23)</f>
        <v>0</v>
      </c>
    </row>
    <row r="25" spans="1:16" x14ac:dyDescent="0.25">
      <c r="A25" s="2" t="str">
        <f>IF(I24&gt;=0,IF(I24&lt;4800,"Haben Sie alle zuschlagspflichtigen Zeiten berücksichtigt?! - siehe auch Anwenderhandbuch",IF(I24&gt;5200,"Bitte die zuschlagspflichtigen Zeiten überprüfen - sie sind möglicherweise zu hoch - siehe auch Anwenderhandbuch Seite 16","")))</f>
        <v>Haben Sie alle zuschlagspflichtigen Zeiten berücksichtigt?! - siehe auch Anwenderhandbuch</v>
      </c>
      <c r="F25" s="5"/>
    </row>
    <row r="26" spans="1:16" x14ac:dyDescent="0.25">
      <c r="F26" s="5"/>
    </row>
    <row r="27" spans="1:16" x14ac:dyDescent="0.25">
      <c r="A27" s="316" t="s">
        <v>40</v>
      </c>
      <c r="N27" s="2"/>
    </row>
    <row r="28" spans="1:16" x14ac:dyDescent="0.25">
      <c r="A28" s="518"/>
      <c r="B28" s="513"/>
      <c r="C28" s="513"/>
      <c r="E28" s="514" t="s">
        <v>271</v>
      </c>
      <c r="F28" s="514" t="s">
        <v>272</v>
      </c>
      <c r="G28" s="520" t="s">
        <v>273</v>
      </c>
      <c r="H28" s="516" t="s">
        <v>274</v>
      </c>
      <c r="I28" s="516" t="s">
        <v>275</v>
      </c>
    </row>
    <row r="29" spans="1:16" ht="37.5" customHeight="1" x14ac:dyDescent="0.25">
      <c r="A29" s="518"/>
      <c r="B29" s="513"/>
      <c r="C29" s="513"/>
      <c r="E29" s="514"/>
      <c r="F29" s="514"/>
      <c r="G29" s="520"/>
      <c r="H29" s="517"/>
      <c r="I29" s="517"/>
    </row>
    <row r="30" spans="1:16" x14ac:dyDescent="0.25">
      <c r="A30" s="41" t="str">
        <f>IF('PK Zusammenfassung'!A47&gt;0,'PK Zusammenfassung'!A47,"")</f>
        <v/>
      </c>
      <c r="B30" s="225" t="str">
        <f>IF('PK Zusammenfassung'!C47&gt;0,'PK Zusammenfassung'!C47,"")</f>
        <v/>
      </c>
      <c r="C30" s="225" t="str">
        <f>IF('PK Zusammenfassung'!D47&gt;0,'PK Zusammenfassung'!D47,"")</f>
        <v/>
      </c>
      <c r="E30" s="297"/>
      <c r="F30" s="58" t="str">
        <f>IF(E30="","",Kalkulationsblatt!$C$17)</f>
        <v/>
      </c>
      <c r="G30" s="41" t="str">
        <f t="shared" ref="G30:G59" si="6">IF(E30="","",4.348)</f>
        <v/>
      </c>
      <c r="H30" s="117" t="str">
        <f t="shared" ref="H30:H59" si="7">IF(E30="","",ROUND(E30/(F30*G30),2))</f>
        <v/>
      </c>
      <c r="I30" s="117" t="str">
        <f>IF(H30="","",ROUND(('PK Zusammenfassung'!E47*'PK Zeitzuschläge kA'!H30),2))</f>
        <v/>
      </c>
      <c r="K30" s="30" t="s">
        <v>75</v>
      </c>
      <c r="L30" s="30"/>
      <c r="M30" s="30"/>
      <c r="N30" s="95">
        <f>M24</f>
        <v>0</v>
      </c>
    </row>
    <row r="31" spans="1:16" x14ac:dyDescent="0.25">
      <c r="A31" s="41" t="str">
        <f>IF('PK Zusammenfassung'!A48&gt;0,'PK Zusammenfassung'!A48,"")</f>
        <v/>
      </c>
      <c r="B31" s="225" t="str">
        <f>IF('PK Zusammenfassung'!C48&gt;0,'PK Zusammenfassung'!C48,"")</f>
        <v/>
      </c>
      <c r="C31" s="225" t="str">
        <f>IF('PK Zusammenfassung'!D48&gt;0,'PK Zusammenfassung'!D48,"")</f>
        <v/>
      </c>
      <c r="E31" s="297"/>
      <c r="F31" s="58" t="str">
        <f>IF(E31="","",Kalkulationsblatt!$C$17)</f>
        <v/>
      </c>
      <c r="G31" s="41" t="str">
        <f t="shared" si="6"/>
        <v/>
      </c>
      <c r="H31" s="117" t="str">
        <f t="shared" si="7"/>
        <v/>
      </c>
      <c r="I31" s="117" t="str">
        <f>IF(H31="","",ROUND(('PK Zusammenfassung'!E48*'PK Zeitzuschläge kA'!H31),2))</f>
        <v/>
      </c>
      <c r="K31" s="30" t="s">
        <v>76</v>
      </c>
      <c r="L31" s="30"/>
      <c r="M31" s="30"/>
      <c r="N31" s="46">
        <f>I62</f>
        <v>0</v>
      </c>
    </row>
    <row r="32" spans="1:16" x14ac:dyDescent="0.25">
      <c r="A32" s="41" t="str">
        <f>IF('PK Zusammenfassung'!A49&gt;0,'PK Zusammenfassung'!A49,"")</f>
        <v/>
      </c>
      <c r="B32" s="225" t="str">
        <f>IF('PK Zusammenfassung'!C49&gt;0,'PK Zusammenfassung'!C49,"")</f>
        <v/>
      </c>
      <c r="C32" s="225" t="str">
        <f>IF('PK Zusammenfassung'!D49&gt;0,'PK Zusammenfassung'!D49,"")</f>
        <v/>
      </c>
      <c r="E32" s="297"/>
      <c r="F32" s="58" t="str">
        <f>IF(E32="","",Kalkulationsblatt!$C$17)</f>
        <v/>
      </c>
      <c r="G32" s="41" t="str">
        <f t="shared" si="6"/>
        <v/>
      </c>
      <c r="H32" s="117" t="str">
        <f t="shared" si="7"/>
        <v/>
      </c>
      <c r="I32" s="117" t="str">
        <f>IF(H32="","",ROUND(('PK Zusammenfassung'!E49*'PK Zeitzuschläge kA'!H32),2))</f>
        <v/>
      </c>
      <c r="K32" s="63" t="s">
        <v>77</v>
      </c>
      <c r="L32" s="63"/>
      <c r="M32" s="63"/>
      <c r="N32" s="63">
        <v>12</v>
      </c>
    </row>
    <row r="33" spans="1:14" x14ac:dyDescent="0.25">
      <c r="A33" s="41" t="str">
        <f>IF('PK Zusammenfassung'!A50&gt;0,'PK Zusammenfassung'!A50,"")</f>
        <v/>
      </c>
      <c r="B33" s="225" t="str">
        <f>IF('PK Zusammenfassung'!C50&gt;0,'PK Zusammenfassung'!C50,"")</f>
        <v/>
      </c>
      <c r="C33" s="225" t="str">
        <f>IF('PK Zusammenfassung'!D50&gt;0,'PK Zusammenfassung'!D50,"")</f>
        <v/>
      </c>
      <c r="E33" s="297"/>
      <c r="F33" s="58" t="str">
        <f>IF(E33="","",Kalkulationsblatt!$C$17)</f>
        <v/>
      </c>
      <c r="G33" s="41" t="str">
        <f t="shared" si="6"/>
        <v/>
      </c>
      <c r="H33" s="117" t="str">
        <f t="shared" si="7"/>
        <v/>
      </c>
      <c r="I33" s="117" t="str">
        <f>IF(H33="","",ROUND(('PK Zusammenfassung'!E50*'PK Zeitzuschläge kA'!H33),2))</f>
        <v/>
      </c>
      <c r="M33" s="30"/>
    </row>
    <row r="34" spans="1:14" x14ac:dyDescent="0.25">
      <c r="A34" s="41" t="str">
        <f>IF('PK Zusammenfassung'!A51&gt;0,'PK Zusammenfassung'!A51,"")</f>
        <v/>
      </c>
      <c r="B34" s="225" t="str">
        <f>IF('PK Zusammenfassung'!C51&gt;0,'PK Zusammenfassung'!C51,"")</f>
        <v/>
      </c>
      <c r="C34" s="225" t="str">
        <f>IF('PK Zusammenfassung'!D51&gt;0,'PK Zusammenfassung'!D51,"")</f>
        <v/>
      </c>
      <c r="E34" s="297"/>
      <c r="F34" s="58" t="str">
        <f>IF(E34="","",Kalkulationsblatt!$C$17)</f>
        <v/>
      </c>
      <c r="G34" s="41" t="str">
        <f t="shared" si="6"/>
        <v/>
      </c>
      <c r="H34" s="117" t="str">
        <f t="shared" si="7"/>
        <v/>
      </c>
      <c r="I34" s="117" t="str">
        <f>IF(H34="","",ROUND(('PK Zusammenfassung'!E51*'PK Zeitzuschläge kA'!H34),2))</f>
        <v/>
      </c>
      <c r="K34" s="30" t="s">
        <v>78</v>
      </c>
      <c r="L34" s="30"/>
      <c r="M34" s="30"/>
      <c r="N34" s="118">
        <f>IF(N31=0,0,ROUND(N30/N31/N32,2))</f>
        <v>0</v>
      </c>
    </row>
    <row r="35" spans="1:14" x14ac:dyDescent="0.25">
      <c r="A35" s="41" t="str">
        <f>IF('PK Zusammenfassung'!A52&gt;0,'PK Zusammenfassung'!A52,"")</f>
        <v/>
      </c>
      <c r="B35" s="225" t="str">
        <f>IF('PK Zusammenfassung'!C52&gt;0,'PK Zusammenfassung'!C52,"")</f>
        <v/>
      </c>
      <c r="C35" s="225" t="str">
        <f>IF('PK Zusammenfassung'!D52&gt;0,'PK Zusammenfassung'!D52,"")</f>
        <v/>
      </c>
      <c r="E35" s="297"/>
      <c r="F35" s="58" t="str">
        <f>IF(E35="","",Kalkulationsblatt!$C$17)</f>
        <v/>
      </c>
      <c r="G35" s="41" t="str">
        <f t="shared" si="6"/>
        <v/>
      </c>
      <c r="H35" s="117" t="str">
        <f t="shared" si="7"/>
        <v/>
      </c>
      <c r="I35" s="117" t="str">
        <f>IF(H35="","",ROUND(('PK Zusammenfassung'!E52*'PK Zeitzuschläge kA'!H35),2))</f>
        <v/>
      </c>
      <c r="K35" s="30" t="s">
        <v>80</v>
      </c>
      <c r="L35" s="30"/>
      <c r="M35" s="30"/>
      <c r="N35" s="30"/>
    </row>
    <row r="36" spans="1:14" x14ac:dyDescent="0.25">
      <c r="A36" s="41" t="str">
        <f>IF('PK Zusammenfassung'!A53&gt;0,'PK Zusammenfassung'!A53,"")</f>
        <v/>
      </c>
      <c r="B36" s="225" t="str">
        <f>IF('PK Zusammenfassung'!C53&gt;0,'PK Zusammenfassung'!C53,"")</f>
        <v/>
      </c>
      <c r="C36" s="225" t="str">
        <f>IF('PK Zusammenfassung'!D53&gt;0,'PK Zusammenfassung'!D53,"")</f>
        <v/>
      </c>
      <c r="E36" s="297"/>
      <c r="F36" s="58" t="str">
        <f>IF(E36="","",Kalkulationsblatt!$C$17)</f>
        <v/>
      </c>
      <c r="G36" s="41" t="str">
        <f t="shared" si="6"/>
        <v/>
      </c>
      <c r="H36" s="117" t="str">
        <f t="shared" si="7"/>
        <v/>
      </c>
      <c r="I36" s="117" t="str">
        <f>IF(H36="","",ROUND(('PK Zusammenfassung'!E53*'PK Zeitzuschläge kA'!H36),2))</f>
        <v/>
      </c>
      <c r="K36" s="30" t="s">
        <v>81</v>
      </c>
      <c r="L36" s="30"/>
      <c r="M36" s="30"/>
      <c r="N36" s="118">
        <f>G76</f>
        <v>0</v>
      </c>
    </row>
    <row r="37" spans="1:14" ht="13.8" thickBot="1" x14ac:dyDescent="0.3">
      <c r="A37" s="41" t="str">
        <f>IF('PK Zusammenfassung'!A54&gt;0,'PK Zusammenfassung'!A54,"")</f>
        <v/>
      </c>
      <c r="B37" s="225" t="str">
        <f>IF('PK Zusammenfassung'!C54&gt;0,'PK Zusammenfassung'!C54,"")</f>
        <v/>
      </c>
      <c r="C37" s="225" t="str">
        <f>IF('PK Zusammenfassung'!D54&gt;0,'PK Zusammenfassung'!D54,"")</f>
        <v/>
      </c>
      <c r="E37" s="297"/>
      <c r="F37" s="58" t="str">
        <f>IF(E37="","",Kalkulationsblatt!$C$17)</f>
        <v/>
      </c>
      <c r="G37" s="41" t="str">
        <f t="shared" si="6"/>
        <v/>
      </c>
      <c r="H37" s="117" t="str">
        <f t="shared" si="7"/>
        <v/>
      </c>
      <c r="I37" s="117" t="str">
        <f>IF(H37="","",ROUND(('PK Zusammenfassung'!E54*'PK Zeitzuschläge kA'!H37),2))</f>
        <v/>
      </c>
    </row>
    <row r="38" spans="1:14" ht="13.8" thickBot="1" x14ac:dyDescent="0.3">
      <c r="A38" s="41" t="str">
        <f>IF('PK Zusammenfassung'!A55&gt;0,'PK Zusammenfassung'!A55,"")</f>
        <v/>
      </c>
      <c r="B38" s="225" t="str">
        <f>IF('PK Zusammenfassung'!C55&gt;0,'PK Zusammenfassung'!C55,"")</f>
        <v/>
      </c>
      <c r="C38" s="225" t="str">
        <f>IF('PK Zusammenfassung'!D55&gt;0,'PK Zusammenfassung'!D55,"")</f>
        <v/>
      </c>
      <c r="E38" s="297"/>
      <c r="F38" s="58" t="str">
        <f>IF(E38="","",Kalkulationsblatt!$C$17)</f>
        <v/>
      </c>
      <c r="G38" s="41" t="str">
        <f t="shared" si="6"/>
        <v/>
      </c>
      <c r="H38" s="117" t="str">
        <f t="shared" si="7"/>
        <v/>
      </c>
      <c r="I38" s="117" t="str">
        <f>IF(H38="","",ROUND(('PK Zusammenfassung'!E55*'PK Zeitzuschläge kA'!H38),2))</f>
        <v/>
      </c>
      <c r="K38" s="1" t="s">
        <v>89</v>
      </c>
      <c r="N38" s="122">
        <f>IF(N42&gt;0,N42,SUM(N34:N36))</f>
        <v>0</v>
      </c>
    </row>
    <row r="39" spans="1:14" x14ac:dyDescent="0.25">
      <c r="A39" s="41" t="str">
        <f>IF('PK Zusammenfassung'!A56&gt;0,'PK Zusammenfassung'!A56,"")</f>
        <v/>
      </c>
      <c r="B39" s="225" t="str">
        <f>IF('PK Zusammenfassung'!C56&gt;0,'PK Zusammenfassung'!C56,"")</f>
        <v/>
      </c>
      <c r="C39" s="225" t="str">
        <f>IF('PK Zusammenfassung'!D56&gt;0,'PK Zusammenfassung'!D56,"")</f>
        <v/>
      </c>
      <c r="E39" s="297"/>
      <c r="F39" s="58" t="str">
        <f>IF(E39="","",Kalkulationsblatt!$C$17)</f>
        <v/>
      </c>
      <c r="G39" s="41" t="str">
        <f t="shared" si="6"/>
        <v/>
      </c>
      <c r="H39" s="117" t="str">
        <f t="shared" si="7"/>
        <v/>
      </c>
      <c r="I39" s="117" t="str">
        <f>IF(H39="","",ROUND(('PK Zusammenfassung'!E56*'PK Zeitzuschläge kA'!H39),2))</f>
        <v/>
      </c>
      <c r="K39" s="30"/>
      <c r="L39" s="30"/>
    </row>
    <row r="40" spans="1:14" x14ac:dyDescent="0.25">
      <c r="A40" s="41" t="str">
        <f>IF('PK Zusammenfassung'!A57&gt;0,'PK Zusammenfassung'!A57,"")</f>
        <v/>
      </c>
      <c r="B40" s="225" t="str">
        <f>IF('PK Zusammenfassung'!C57&gt;0,'PK Zusammenfassung'!C57,"")</f>
        <v/>
      </c>
      <c r="C40" s="225" t="str">
        <f>IF('PK Zusammenfassung'!D57&gt;0,'PK Zusammenfassung'!D57,"")</f>
        <v/>
      </c>
      <c r="E40" s="297"/>
      <c r="F40" s="58" t="str">
        <f>IF(E40="","",Kalkulationsblatt!$C$17)</f>
        <v/>
      </c>
      <c r="G40" s="41" t="str">
        <f t="shared" si="6"/>
        <v/>
      </c>
      <c r="H40" s="117" t="str">
        <f t="shared" si="7"/>
        <v/>
      </c>
      <c r="I40" s="117" t="str">
        <f>IF(H40="","",ROUND(('PK Zusammenfassung'!E57*'PK Zeitzuschläge kA'!H40),2))</f>
        <v/>
      </c>
      <c r="K40" s="30"/>
      <c r="L40" s="30"/>
    </row>
    <row r="41" spans="1:14" ht="13.8" thickBot="1" x14ac:dyDescent="0.3">
      <c r="A41" s="41" t="str">
        <f>IF('PK Zusammenfassung'!A58&gt;0,'PK Zusammenfassung'!A58,"")</f>
        <v/>
      </c>
      <c r="B41" s="225" t="str">
        <f>IF('PK Zusammenfassung'!C58&gt;0,'PK Zusammenfassung'!C58,"")</f>
        <v/>
      </c>
      <c r="C41" s="225" t="str">
        <f>IF('PK Zusammenfassung'!D58&gt;0,'PK Zusammenfassung'!D58,"")</f>
        <v/>
      </c>
      <c r="E41" s="297"/>
      <c r="F41" s="58" t="str">
        <f>IF(E41="","",Kalkulationsblatt!$C$17)</f>
        <v/>
      </c>
      <c r="G41" s="41" t="str">
        <f t="shared" si="6"/>
        <v/>
      </c>
      <c r="H41" s="117" t="str">
        <f t="shared" si="7"/>
        <v/>
      </c>
      <c r="I41" s="117" t="str">
        <f>IF(H41="","",ROUND(('PK Zusammenfassung'!E58*'PK Zeitzuschläge kA'!H41),2))</f>
        <v/>
      </c>
      <c r="K41" s="1" t="s">
        <v>174</v>
      </c>
    </row>
    <row r="42" spans="1:14" ht="13.8" thickBot="1" x14ac:dyDescent="0.3">
      <c r="A42" s="41" t="str">
        <f>IF('PK Zusammenfassung'!A59&gt;0,'PK Zusammenfassung'!A59,"")</f>
        <v/>
      </c>
      <c r="B42" s="225" t="str">
        <f>IF('PK Zusammenfassung'!C59&gt;0,'PK Zusammenfassung'!C59,"")</f>
        <v/>
      </c>
      <c r="C42" s="225" t="str">
        <f>IF('PK Zusammenfassung'!D59&gt;0,'PK Zusammenfassung'!D59,"")</f>
        <v/>
      </c>
      <c r="E42" s="297"/>
      <c r="F42" s="58" t="str">
        <f>IF(E42="","",Kalkulationsblatt!$C$17)</f>
        <v/>
      </c>
      <c r="G42" s="41" t="str">
        <f t="shared" si="6"/>
        <v/>
      </c>
      <c r="H42" s="117" t="str">
        <f t="shared" si="7"/>
        <v/>
      </c>
      <c r="I42" s="117" t="str">
        <f>IF(H42="","",ROUND(('PK Zusammenfassung'!E59*'PK Zeitzuschläge kA'!H42),2))</f>
        <v/>
      </c>
      <c r="N42" s="318">
        <v>0</v>
      </c>
    </row>
    <row r="43" spans="1:14" x14ac:dyDescent="0.25">
      <c r="A43" s="41" t="str">
        <f>IF('PK Zusammenfassung'!A60&gt;0,'PK Zusammenfassung'!A60,"")</f>
        <v/>
      </c>
      <c r="B43" s="225" t="str">
        <f>IF('PK Zusammenfassung'!C60&gt;0,'PK Zusammenfassung'!C60,"")</f>
        <v/>
      </c>
      <c r="C43" s="225" t="str">
        <f>IF('PK Zusammenfassung'!D60&gt;0,'PK Zusammenfassung'!D60,"")</f>
        <v/>
      </c>
      <c r="E43" s="297"/>
      <c r="F43" s="58" t="str">
        <f>IF(E43="","",Kalkulationsblatt!$C$17)</f>
        <v/>
      </c>
      <c r="G43" s="41" t="str">
        <f t="shared" si="6"/>
        <v/>
      </c>
      <c r="H43" s="117" t="str">
        <f t="shared" si="7"/>
        <v/>
      </c>
      <c r="I43" s="117" t="str">
        <f>IF(H43="","",ROUND(('PK Zusammenfassung'!E60*'PK Zeitzuschläge kA'!H43),2))</f>
        <v/>
      </c>
      <c r="K43" s="30"/>
      <c r="L43" s="30"/>
    </row>
    <row r="44" spans="1:14" x14ac:dyDescent="0.25">
      <c r="A44" s="41" t="str">
        <f>IF('PK Zusammenfassung'!A61&gt;0,'PK Zusammenfassung'!A61,"")</f>
        <v/>
      </c>
      <c r="B44" s="225" t="str">
        <f>IF('PK Zusammenfassung'!C61&gt;0,'PK Zusammenfassung'!C61,"")</f>
        <v/>
      </c>
      <c r="C44" s="225" t="str">
        <f>IF('PK Zusammenfassung'!D61&gt;0,'PK Zusammenfassung'!D61,"")</f>
        <v/>
      </c>
      <c r="E44" s="297"/>
      <c r="F44" s="58" t="str">
        <f>IF(E44="","",Kalkulationsblatt!$C$17)</f>
        <v/>
      </c>
      <c r="G44" s="41" t="str">
        <f t="shared" si="6"/>
        <v/>
      </c>
      <c r="H44" s="117" t="str">
        <f t="shared" si="7"/>
        <v/>
      </c>
      <c r="I44" s="117" t="str">
        <f>IF(H44="","",ROUND(('PK Zusammenfassung'!E61*'PK Zeitzuschläge kA'!H44),2))</f>
        <v/>
      </c>
      <c r="K44" s="30" t="s">
        <v>299</v>
      </c>
      <c r="L44" s="30"/>
      <c r="N44" s="431">
        <f>L24</f>
        <v>0</v>
      </c>
    </row>
    <row r="45" spans="1:14" x14ac:dyDescent="0.25">
      <c r="A45" s="41" t="str">
        <f>IF('PK Zusammenfassung'!A62&gt;0,'PK Zusammenfassung'!A62,"")</f>
        <v/>
      </c>
      <c r="B45" s="225" t="str">
        <f>IF('PK Zusammenfassung'!C62&gt;0,'PK Zusammenfassung'!C62,"")</f>
        <v/>
      </c>
      <c r="C45" s="225" t="str">
        <f>IF('PK Zusammenfassung'!D62&gt;0,'PK Zusammenfassung'!D62,"")</f>
        <v/>
      </c>
      <c r="E45" s="297"/>
      <c r="F45" s="58" t="str">
        <f>IF(E45="","",Kalkulationsblatt!$C$17)</f>
        <v/>
      </c>
      <c r="G45" s="41" t="str">
        <f t="shared" si="6"/>
        <v/>
      </c>
      <c r="H45" s="117" t="str">
        <f t="shared" si="7"/>
        <v/>
      </c>
      <c r="I45" s="117" t="str">
        <f>IF(H45="","",ROUND(('PK Zusammenfassung'!E62*'PK Zeitzuschläge kA'!H45),2))</f>
        <v/>
      </c>
      <c r="K45" s="30" t="s">
        <v>300</v>
      </c>
      <c r="L45" s="30"/>
      <c r="N45" s="429">
        <f>'PK Zusammenfassung'!K46</f>
        <v>0</v>
      </c>
    </row>
    <row r="46" spans="1:14" x14ac:dyDescent="0.25">
      <c r="A46" s="41" t="str">
        <f>IF('PK Zusammenfassung'!A63&gt;0,'PK Zusammenfassung'!A63,"")</f>
        <v/>
      </c>
      <c r="B46" s="225" t="str">
        <f>IF('PK Zusammenfassung'!C63&gt;0,'PK Zusammenfassung'!C63,"")</f>
        <v/>
      </c>
      <c r="C46" s="225" t="str">
        <f>IF('PK Zusammenfassung'!D63&gt;0,'PK Zusammenfassung'!D63,"")</f>
        <v/>
      </c>
      <c r="E46" s="297"/>
      <c r="F46" s="58" t="str">
        <f>IF(E46="","",Kalkulationsblatt!$C$17)</f>
        <v/>
      </c>
      <c r="G46" s="41" t="str">
        <f t="shared" si="6"/>
        <v/>
      </c>
      <c r="H46" s="117" t="str">
        <f t="shared" si="7"/>
        <v/>
      </c>
      <c r="I46" s="117" t="str">
        <f>IF(H46="","",ROUND(('PK Zusammenfassung'!E63*'PK Zeitzuschläge kA'!H46),2))</f>
        <v/>
      </c>
      <c r="K46" s="30" t="s">
        <v>301</v>
      </c>
      <c r="L46" s="30"/>
      <c r="N46" s="432" t="e">
        <f>N44/N45</f>
        <v>#DIV/0!</v>
      </c>
    </row>
    <row r="47" spans="1:14" x14ac:dyDescent="0.25">
      <c r="A47" s="41" t="str">
        <f>IF('PK Zusammenfassung'!A64&gt;0,'PK Zusammenfassung'!A64,"")</f>
        <v/>
      </c>
      <c r="B47" s="225" t="str">
        <f>IF('PK Zusammenfassung'!C64&gt;0,'PK Zusammenfassung'!C64,"")</f>
        <v/>
      </c>
      <c r="C47" s="225" t="str">
        <f>IF('PK Zusammenfassung'!D64&gt;0,'PK Zusammenfassung'!D64,"")</f>
        <v/>
      </c>
      <c r="E47" s="297"/>
      <c r="F47" s="58" t="str">
        <f>IF(E47="","",Kalkulationsblatt!$C$17)</f>
        <v/>
      </c>
      <c r="G47" s="41" t="str">
        <f t="shared" si="6"/>
        <v/>
      </c>
      <c r="H47" s="117" t="str">
        <f t="shared" si="7"/>
        <v/>
      </c>
      <c r="I47" s="117" t="str">
        <f>IF(H47="","",ROUND(('PK Zusammenfassung'!E64*'PK Zeitzuschläge kA'!H47),2))</f>
        <v/>
      </c>
      <c r="K47" s="30"/>
      <c r="L47" s="30"/>
    </row>
    <row r="48" spans="1:14" x14ac:dyDescent="0.25">
      <c r="A48" s="41" t="str">
        <f>IF('PK Zusammenfassung'!A65&gt;0,'PK Zusammenfassung'!A65,"")</f>
        <v/>
      </c>
      <c r="B48" s="225" t="str">
        <f>IF('PK Zusammenfassung'!C65&gt;0,'PK Zusammenfassung'!C65,"")</f>
        <v/>
      </c>
      <c r="C48" s="225" t="str">
        <f>IF('PK Zusammenfassung'!D65&gt;0,'PK Zusammenfassung'!D65,"")</f>
        <v/>
      </c>
      <c r="E48" s="297"/>
      <c r="F48" s="58" t="str">
        <f>IF(E48="","",Kalkulationsblatt!$C$17)</f>
        <v/>
      </c>
      <c r="G48" s="41" t="str">
        <f t="shared" si="6"/>
        <v/>
      </c>
      <c r="H48" s="117" t="str">
        <f t="shared" si="7"/>
        <v/>
      </c>
      <c r="I48" s="117" t="str">
        <f>IF(H48="","",ROUND(('PK Zusammenfassung'!E65*'PK Zeitzuschläge kA'!H48),2))</f>
        <v/>
      </c>
      <c r="K48" s="30"/>
      <c r="L48" s="30"/>
    </row>
    <row r="49" spans="1:12" x14ac:dyDescent="0.25">
      <c r="A49" s="41" t="str">
        <f>IF('PK Zusammenfassung'!A66&gt;0,'PK Zusammenfassung'!A66,"")</f>
        <v/>
      </c>
      <c r="B49" s="225" t="str">
        <f>IF('PK Zusammenfassung'!C66&gt;0,'PK Zusammenfassung'!C66,"")</f>
        <v/>
      </c>
      <c r="C49" s="225" t="str">
        <f>IF('PK Zusammenfassung'!D66&gt;0,'PK Zusammenfassung'!D66,"")</f>
        <v/>
      </c>
      <c r="E49" s="297"/>
      <c r="F49" s="58" t="str">
        <f>IF(E49="","",Kalkulationsblatt!$C$17)</f>
        <v/>
      </c>
      <c r="G49" s="41" t="str">
        <f t="shared" si="6"/>
        <v/>
      </c>
      <c r="H49" s="117" t="str">
        <f t="shared" si="7"/>
        <v/>
      </c>
      <c r="I49" s="117" t="str">
        <f>IF(H49="","",ROUND(('PK Zusammenfassung'!E66*'PK Zeitzuschläge kA'!H49),2))</f>
        <v/>
      </c>
      <c r="K49" s="30"/>
      <c r="L49" s="30"/>
    </row>
    <row r="50" spans="1:12" x14ac:dyDescent="0.25">
      <c r="A50" s="41" t="str">
        <f>IF('PK Zusammenfassung'!A67&gt;0,'PK Zusammenfassung'!A67,"")</f>
        <v/>
      </c>
      <c r="B50" s="225" t="str">
        <f>IF('PK Zusammenfassung'!C67&gt;0,'PK Zusammenfassung'!C67,"")</f>
        <v/>
      </c>
      <c r="C50" s="225" t="str">
        <f>IF('PK Zusammenfassung'!D67&gt;0,'PK Zusammenfassung'!D67,"")</f>
        <v/>
      </c>
      <c r="E50" s="297"/>
      <c r="F50" s="58" t="str">
        <f>IF(E50="","",Kalkulationsblatt!$C$17)</f>
        <v/>
      </c>
      <c r="G50" s="41" t="str">
        <f t="shared" si="6"/>
        <v/>
      </c>
      <c r="H50" s="117" t="str">
        <f t="shared" si="7"/>
        <v/>
      </c>
      <c r="I50" s="117" t="str">
        <f>IF(H50="","",ROUND(('PK Zusammenfassung'!E67*'PK Zeitzuschläge kA'!H50),2))</f>
        <v/>
      </c>
      <c r="K50" s="30"/>
      <c r="L50" s="30"/>
    </row>
    <row r="51" spans="1:12" x14ac:dyDescent="0.25">
      <c r="A51" s="41" t="str">
        <f>IF('PK Zusammenfassung'!A68&gt;0,'PK Zusammenfassung'!A68,"")</f>
        <v/>
      </c>
      <c r="B51" s="225" t="str">
        <f>IF('PK Zusammenfassung'!C68&gt;0,'PK Zusammenfassung'!C68,"")</f>
        <v/>
      </c>
      <c r="C51" s="225" t="str">
        <f>IF('PK Zusammenfassung'!D68&gt;0,'PK Zusammenfassung'!D68,"")</f>
        <v/>
      </c>
      <c r="E51" s="297"/>
      <c r="F51" s="58" t="str">
        <f>IF(E51="","",Kalkulationsblatt!$C$17)</f>
        <v/>
      </c>
      <c r="G51" s="41" t="str">
        <f t="shared" si="6"/>
        <v/>
      </c>
      <c r="H51" s="117" t="str">
        <f t="shared" si="7"/>
        <v/>
      </c>
      <c r="I51" s="117" t="str">
        <f>IF(H51="","",ROUND(('PK Zusammenfassung'!E68*'PK Zeitzuschläge kA'!H51),2))</f>
        <v/>
      </c>
      <c r="K51" s="30"/>
      <c r="L51" s="30"/>
    </row>
    <row r="52" spans="1:12" x14ac:dyDescent="0.25">
      <c r="A52" s="41" t="str">
        <f>IF('PK Zusammenfassung'!A69&gt;0,'PK Zusammenfassung'!A69,"")</f>
        <v/>
      </c>
      <c r="B52" s="225" t="str">
        <f>IF('PK Zusammenfassung'!C69&gt;0,'PK Zusammenfassung'!C69,"")</f>
        <v/>
      </c>
      <c r="C52" s="225" t="str">
        <f>IF('PK Zusammenfassung'!D69&gt;0,'PK Zusammenfassung'!D69,"")</f>
        <v/>
      </c>
      <c r="E52" s="297"/>
      <c r="F52" s="58" t="str">
        <f>IF(E52="","",Kalkulationsblatt!$C$17)</f>
        <v/>
      </c>
      <c r="G52" s="41" t="str">
        <f t="shared" si="6"/>
        <v/>
      </c>
      <c r="H52" s="117" t="str">
        <f t="shared" si="7"/>
        <v/>
      </c>
      <c r="I52" s="117" t="str">
        <f>IF(H52="","",ROUND(('PK Zusammenfassung'!E69*'PK Zeitzuschläge kA'!H52),2))</f>
        <v/>
      </c>
      <c r="K52" s="30"/>
      <c r="L52" s="30"/>
    </row>
    <row r="53" spans="1:12" x14ac:dyDescent="0.25">
      <c r="A53" s="41" t="str">
        <f>IF('PK Zusammenfassung'!A70&gt;0,'PK Zusammenfassung'!A70,"")</f>
        <v/>
      </c>
      <c r="B53" s="225" t="str">
        <f>IF('PK Zusammenfassung'!C70&gt;0,'PK Zusammenfassung'!C70,"")</f>
        <v/>
      </c>
      <c r="C53" s="225" t="str">
        <f>IF('PK Zusammenfassung'!D70&gt;0,'PK Zusammenfassung'!D70,"")</f>
        <v/>
      </c>
      <c r="E53" s="297"/>
      <c r="F53" s="58" t="str">
        <f>IF(E53="","",Kalkulationsblatt!$C$17)</f>
        <v/>
      </c>
      <c r="G53" s="41" t="str">
        <f t="shared" si="6"/>
        <v/>
      </c>
      <c r="H53" s="117" t="str">
        <f t="shared" si="7"/>
        <v/>
      </c>
      <c r="I53" s="117" t="str">
        <f>IF(H53="","",ROUND(('PK Zusammenfassung'!E70*'PK Zeitzuschläge kA'!H53),2))</f>
        <v/>
      </c>
      <c r="K53" s="30"/>
      <c r="L53" s="30"/>
    </row>
    <row r="54" spans="1:12" x14ac:dyDescent="0.25">
      <c r="A54" s="41" t="str">
        <f>IF('PK Zusammenfassung'!A71&gt;0,'PK Zusammenfassung'!A71,"")</f>
        <v/>
      </c>
      <c r="B54" s="225" t="str">
        <f>IF('PK Zusammenfassung'!C71&gt;0,'PK Zusammenfassung'!C71,"")</f>
        <v/>
      </c>
      <c r="C54" s="225" t="str">
        <f>IF('PK Zusammenfassung'!D71&gt;0,'PK Zusammenfassung'!D71,"")</f>
        <v/>
      </c>
      <c r="E54" s="297"/>
      <c r="F54" s="58" t="str">
        <f>IF(E54="","",Kalkulationsblatt!$C$17)</f>
        <v/>
      </c>
      <c r="G54" s="41" t="str">
        <f t="shared" si="6"/>
        <v/>
      </c>
      <c r="H54" s="117" t="str">
        <f t="shared" si="7"/>
        <v/>
      </c>
      <c r="I54" s="117" t="str">
        <f>IF(H54="","",ROUND(('PK Zusammenfassung'!E71*'PK Zeitzuschläge kA'!H54),2))</f>
        <v/>
      </c>
      <c r="K54" s="30"/>
      <c r="L54" s="30"/>
    </row>
    <row r="55" spans="1:12" x14ac:dyDescent="0.25">
      <c r="A55" s="41" t="str">
        <f>IF('PK Zusammenfassung'!A72&gt;0,'PK Zusammenfassung'!A72,"")</f>
        <v/>
      </c>
      <c r="B55" s="225" t="str">
        <f>IF('PK Zusammenfassung'!C72&gt;0,'PK Zusammenfassung'!C72,"")</f>
        <v/>
      </c>
      <c r="C55" s="225" t="str">
        <f>IF('PK Zusammenfassung'!D72&gt;0,'PK Zusammenfassung'!D72,"")</f>
        <v/>
      </c>
      <c r="E55" s="297"/>
      <c r="F55" s="58" t="str">
        <f>IF(E55="","",Kalkulationsblatt!$C$17)</f>
        <v/>
      </c>
      <c r="G55" s="41" t="str">
        <f t="shared" si="6"/>
        <v/>
      </c>
      <c r="H55" s="117" t="str">
        <f t="shared" si="7"/>
        <v/>
      </c>
      <c r="I55" s="117" t="str">
        <f>IF(H55="","",ROUND(('PK Zusammenfassung'!E72*'PK Zeitzuschläge kA'!H55),2))</f>
        <v/>
      </c>
      <c r="K55" s="30"/>
      <c r="L55" s="30"/>
    </row>
    <row r="56" spans="1:12" x14ac:dyDescent="0.25">
      <c r="A56" s="41" t="str">
        <f>IF('PK Zusammenfassung'!A73&gt;0,'PK Zusammenfassung'!A73,"")</f>
        <v/>
      </c>
      <c r="B56" s="225" t="str">
        <f>IF('PK Zusammenfassung'!C73&gt;0,'PK Zusammenfassung'!C73,"")</f>
        <v/>
      </c>
      <c r="C56" s="225" t="str">
        <f>IF('PK Zusammenfassung'!D73&gt;0,'PK Zusammenfassung'!D73,"")</f>
        <v/>
      </c>
      <c r="E56" s="297"/>
      <c r="F56" s="58" t="str">
        <f>IF(E56="","",Kalkulationsblatt!$C$17)</f>
        <v/>
      </c>
      <c r="G56" s="41" t="str">
        <f t="shared" si="6"/>
        <v/>
      </c>
      <c r="H56" s="117" t="str">
        <f t="shared" si="7"/>
        <v/>
      </c>
      <c r="I56" s="117" t="str">
        <f>IF(H56="","",ROUND(('PK Zusammenfassung'!E73*'PK Zeitzuschläge kA'!H56),2))</f>
        <v/>
      </c>
      <c r="K56" s="30"/>
      <c r="L56" s="30"/>
    </row>
    <row r="57" spans="1:12" x14ac:dyDescent="0.25">
      <c r="A57" s="41" t="str">
        <f>IF('PK Zusammenfassung'!A74&gt;0,'PK Zusammenfassung'!A74,"")</f>
        <v/>
      </c>
      <c r="B57" s="225" t="str">
        <f>IF('PK Zusammenfassung'!C74&gt;0,'PK Zusammenfassung'!C74,"")</f>
        <v/>
      </c>
      <c r="C57" s="225" t="str">
        <f>IF('PK Zusammenfassung'!D74&gt;0,'PK Zusammenfassung'!D74,"")</f>
        <v/>
      </c>
      <c r="E57" s="297"/>
      <c r="F57" s="58" t="str">
        <f>IF(E57="","",Kalkulationsblatt!$C$17)</f>
        <v/>
      </c>
      <c r="G57" s="41" t="str">
        <f t="shared" si="6"/>
        <v/>
      </c>
      <c r="H57" s="117" t="str">
        <f t="shared" si="7"/>
        <v/>
      </c>
      <c r="I57" s="117" t="str">
        <f>IF(H57="","",ROUND(('PK Zusammenfassung'!E74*'PK Zeitzuschläge kA'!H57),2))</f>
        <v/>
      </c>
      <c r="K57" s="30"/>
      <c r="L57" s="30"/>
    </row>
    <row r="58" spans="1:12" x14ac:dyDescent="0.25">
      <c r="A58" s="41" t="str">
        <f>IF('PK Zusammenfassung'!A75&gt;0,'PK Zusammenfassung'!A75,"")</f>
        <v/>
      </c>
      <c r="B58" s="225" t="str">
        <f>IF('PK Zusammenfassung'!C75&gt;0,'PK Zusammenfassung'!C75,"")</f>
        <v/>
      </c>
      <c r="C58" s="225" t="str">
        <f>IF('PK Zusammenfassung'!D75&gt;0,'PK Zusammenfassung'!D75,"")</f>
        <v/>
      </c>
      <c r="E58" s="297"/>
      <c r="F58" s="58" t="str">
        <f>IF(E58="","",Kalkulationsblatt!$C$17)</f>
        <v/>
      </c>
      <c r="G58" s="41" t="str">
        <f t="shared" si="6"/>
        <v/>
      </c>
      <c r="H58" s="117" t="str">
        <f t="shared" si="7"/>
        <v/>
      </c>
      <c r="I58" s="117" t="str">
        <f>IF(H58="","",ROUND(('PK Zusammenfassung'!E75*'PK Zeitzuschläge kA'!H58),2))</f>
        <v/>
      </c>
      <c r="K58" s="30"/>
      <c r="L58" s="30"/>
    </row>
    <row r="59" spans="1:12" ht="13.8" thickBot="1" x14ac:dyDescent="0.3">
      <c r="A59" s="41" t="str">
        <f>IF('PK Zusammenfassung'!A76&gt;0,'PK Zusammenfassung'!A76,"")</f>
        <v/>
      </c>
      <c r="B59" s="225" t="str">
        <f>IF('PK Zusammenfassung'!C76&gt;0,'PK Zusammenfassung'!C76,"")</f>
        <v/>
      </c>
      <c r="C59" s="225" t="str">
        <f>IF('PK Zusammenfassung'!D76&gt;0,'PK Zusammenfassung'!D76,"")</f>
        <v/>
      </c>
      <c r="E59" s="297"/>
      <c r="F59" s="58" t="str">
        <f>IF(E59="","",Kalkulationsblatt!$C$17)</f>
        <v/>
      </c>
      <c r="G59" s="41" t="str">
        <f t="shared" si="6"/>
        <v/>
      </c>
      <c r="H59" s="117" t="str">
        <f t="shared" si="7"/>
        <v/>
      </c>
      <c r="I59" s="117" t="str">
        <f>IF(H59="","",ROUND(('PK Zusammenfassung'!E76*'PK Zeitzuschläge kA'!H59),2))</f>
        <v/>
      </c>
    </row>
    <row r="60" spans="1:12" ht="13.8" thickBot="1" x14ac:dyDescent="0.3">
      <c r="A60" s="30"/>
      <c r="B60" s="119"/>
      <c r="C60" s="30"/>
      <c r="H60" s="261" t="s">
        <v>79</v>
      </c>
      <c r="I60" s="120">
        <f>IF(I62=0,0,ROUND(SUM(I30:I59)/I62,2))</f>
        <v>0</v>
      </c>
    </row>
    <row r="61" spans="1:12" ht="13.8" thickBot="1" x14ac:dyDescent="0.3">
      <c r="A61" s="30"/>
      <c r="B61" s="30"/>
      <c r="C61" s="119"/>
      <c r="D61" s="30"/>
      <c r="E61" s="30"/>
      <c r="H61" s="252"/>
      <c r="I61" s="32"/>
    </row>
    <row r="62" spans="1:12" ht="13.8" thickBot="1" x14ac:dyDescent="0.3">
      <c r="A62" s="30"/>
      <c r="B62" s="30"/>
      <c r="C62" s="119"/>
      <c r="D62" s="30"/>
      <c r="H62" s="261" t="s">
        <v>88</v>
      </c>
      <c r="I62" s="121">
        <f>SUM('PK Zusammenfassung'!J47:'PK Zusammenfassung'!J76)+'PK Zusammenfassung'!J85</f>
        <v>0</v>
      </c>
    </row>
    <row r="66" spans="1:10" x14ac:dyDescent="0.25">
      <c r="A66" s="519" t="s">
        <v>277</v>
      </c>
      <c r="B66" s="519"/>
      <c r="C66" s="519"/>
      <c r="D66" s="519"/>
      <c r="E66" s="519"/>
      <c r="F66" s="519"/>
      <c r="G66" s="519"/>
      <c r="H66" s="519"/>
      <c r="I66" s="519"/>
    </row>
    <row r="67" spans="1:10" x14ac:dyDescent="0.25">
      <c r="A67" s="519"/>
      <c r="B67" s="519"/>
      <c r="C67" s="519"/>
      <c r="D67" s="519"/>
      <c r="E67" s="519"/>
      <c r="F67" s="519"/>
      <c r="G67" s="519"/>
      <c r="H67" s="519"/>
      <c r="I67" s="519"/>
    </row>
    <row r="68" spans="1:10" x14ac:dyDescent="0.25">
      <c r="A68" s="519"/>
      <c r="B68" s="519"/>
      <c r="C68" s="519"/>
      <c r="D68" s="519"/>
      <c r="E68" s="519"/>
      <c r="F68" s="519"/>
      <c r="G68" s="519"/>
      <c r="H68" s="519"/>
      <c r="I68" s="519"/>
    </row>
    <row r="69" spans="1:10" x14ac:dyDescent="0.25">
      <c r="A69" s="519"/>
      <c r="B69" s="519"/>
      <c r="C69" s="519"/>
      <c r="D69" s="519"/>
      <c r="E69" s="519"/>
      <c r="F69" s="519"/>
      <c r="G69" s="519"/>
      <c r="H69" s="519"/>
      <c r="I69" s="519"/>
    </row>
    <row r="71" spans="1:10" x14ac:dyDescent="0.25">
      <c r="A71" s="123" t="s">
        <v>82</v>
      </c>
    </row>
    <row r="72" spans="1:10" x14ac:dyDescent="0.25">
      <c r="D72" s="15"/>
    </row>
    <row r="73" spans="1:10" x14ac:dyDescent="0.25">
      <c r="A73" s="319"/>
      <c r="B73" s="124"/>
      <c r="C73" s="124"/>
      <c r="E73" s="125"/>
      <c r="F73" s="125"/>
      <c r="G73" s="125"/>
      <c r="H73" s="126"/>
      <c r="I73" s="143"/>
    </row>
    <row r="74" spans="1:10" x14ac:dyDescent="0.25">
      <c r="A74" s="342" t="s">
        <v>152</v>
      </c>
      <c r="B74" s="128" t="s">
        <v>83</v>
      </c>
      <c r="C74" s="129" t="s">
        <v>84</v>
      </c>
      <c r="D74" s="130"/>
      <c r="E74" s="129" t="s">
        <v>85</v>
      </c>
      <c r="F74" s="129" t="s">
        <v>86</v>
      </c>
      <c r="G74" s="131" t="s">
        <v>51</v>
      </c>
      <c r="H74" s="126"/>
      <c r="I74" s="127"/>
    </row>
    <row r="75" spans="1:10" ht="13.8" thickBot="1" x14ac:dyDescent="0.3">
      <c r="A75" s="342" t="s">
        <v>276</v>
      </c>
      <c r="B75" s="128">
        <v>67</v>
      </c>
      <c r="C75" s="274">
        <f>$N$34</f>
        <v>0</v>
      </c>
      <c r="D75" s="132"/>
      <c r="E75" s="133">
        <v>30.416666666666668</v>
      </c>
      <c r="F75" s="273">
        <f>C75/E75</f>
        <v>0</v>
      </c>
      <c r="G75" s="272">
        <f>ROUND(B75*F75,2)</f>
        <v>0</v>
      </c>
      <c r="H75" s="134"/>
      <c r="I75" s="135"/>
    </row>
    <row r="76" spans="1:10" ht="13.8" thickBot="1" x14ac:dyDescent="0.3">
      <c r="A76" s="136" t="s">
        <v>87</v>
      </c>
      <c r="B76" s="137"/>
      <c r="C76" s="137"/>
      <c r="E76" s="136"/>
      <c r="F76" s="136"/>
      <c r="G76" s="271">
        <f>ROUND(G75/12,2)</f>
        <v>0</v>
      </c>
      <c r="H76" s="138"/>
      <c r="I76" s="138"/>
      <c r="J76" s="108"/>
    </row>
  </sheetData>
  <sheetProtection algorithmName="SHA-512" hashValue="smfJpsR8ubIuUk4F95HIPPutj2URgefdeJfdP40Uf0kBEw894sCCXwSwDB1F14TVtSUgsa2ug6hPzH5+oGX+DQ==" saltValue="HBOMpB6QgPuof25LDdLn0A==" spinCount="100000" sheet="1" objects="1" scenarios="1" formatCells="0"/>
  <mergeCells count="20">
    <mergeCell ref="A66:I69"/>
    <mergeCell ref="A28:A29"/>
    <mergeCell ref="E28:E29"/>
    <mergeCell ref="F28:F29"/>
    <mergeCell ref="G28:G29"/>
    <mergeCell ref="H28:H29"/>
    <mergeCell ref="O3:O4"/>
    <mergeCell ref="P3:P4"/>
    <mergeCell ref="C28:C29"/>
    <mergeCell ref="B28:B29"/>
    <mergeCell ref="K3:K4"/>
    <mergeCell ref="M3:M4"/>
    <mergeCell ref="I28:I29"/>
    <mergeCell ref="B3:C3"/>
    <mergeCell ref="E3:E4"/>
    <mergeCell ref="F3:G3"/>
    <mergeCell ref="H3:H4"/>
    <mergeCell ref="I3:I4"/>
    <mergeCell ref="J3:J4"/>
    <mergeCell ref="L3:L4"/>
  </mergeCells>
  <pageMargins left="0.7" right="0.7" top="0.78740157499999996" bottom="0.78740157499999996" header="0.3" footer="0.3"/>
  <pageSetup paperSize="9" scale="81" orientation="landscape" r:id="rId1"/>
  <headerFooter>
    <oddFooter>&amp;L&amp;"Arial,Standard"&amp;8Datum des Ausdrucks
&amp;D&amp;C&amp;"Arial,Standard"&amp;8Kalkulationsdatei Assistenzleistungen 
Rahmenvertrag 3 Version 1.0&amp;R&amp;"Arial,Standard"&amp;8PK Zeitzuschläge kA
 Seite &amp;P von &amp;N</oddFooter>
  </headerFooter>
  <rowBreaks count="1" manualBreakCount="1">
    <brk id="42" max="16383" man="1"/>
  </rowBreaks>
  <colBreaks count="1" manualBreakCount="1">
    <brk id="14"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R92"/>
  <sheetViews>
    <sheetView showGridLines="0" zoomScaleNormal="100" workbookViewId="0">
      <pane ySplit="4" topLeftCell="A5" activePane="bottomLeft" state="frozen"/>
      <selection pane="bottomLeft" activeCell="M81" sqref="M81"/>
    </sheetView>
  </sheetViews>
  <sheetFormatPr baseColWidth="10" defaultRowHeight="14.4" x14ac:dyDescent="0.3"/>
  <cols>
    <col min="1" max="1" width="21.6640625" customWidth="1"/>
    <col min="2" max="2" width="14.88671875" customWidth="1"/>
    <col min="4" max="4" width="13.109375" customWidth="1"/>
    <col min="12" max="12" width="29.5546875" customWidth="1"/>
  </cols>
  <sheetData>
    <row r="1" spans="1:18" x14ac:dyDescent="0.3">
      <c r="A1" s="3"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c r="B1" s="1"/>
      <c r="C1" s="1"/>
      <c r="D1" s="1"/>
      <c r="E1" s="1"/>
      <c r="F1" s="1"/>
      <c r="G1" s="1"/>
      <c r="H1" s="1"/>
      <c r="I1" s="1"/>
      <c r="J1" s="1"/>
      <c r="K1" s="1"/>
      <c r="L1" s="1"/>
      <c r="M1" s="1"/>
      <c r="N1" s="1"/>
      <c r="O1" s="1"/>
      <c r="P1" s="1"/>
      <c r="Q1" s="1"/>
      <c r="R1" s="1"/>
    </row>
    <row r="2" spans="1:18" x14ac:dyDescent="0.3">
      <c r="A2" s="1"/>
      <c r="B2" s="1"/>
      <c r="C2" s="1"/>
      <c r="D2" s="1"/>
      <c r="E2" s="1"/>
      <c r="F2" s="1"/>
      <c r="G2" s="1"/>
      <c r="H2" s="1"/>
      <c r="I2" s="1"/>
      <c r="J2" s="1"/>
      <c r="K2" s="1"/>
      <c r="L2" s="1"/>
      <c r="M2" s="1"/>
      <c r="N2" s="1"/>
      <c r="O2" s="1"/>
      <c r="P2" s="1"/>
      <c r="Q2" s="1"/>
      <c r="R2" s="1"/>
    </row>
    <row r="3" spans="1:18" ht="52.8" x14ac:dyDescent="0.3">
      <c r="A3" s="477" t="s">
        <v>231</v>
      </c>
      <c r="B3" s="477" t="s">
        <v>278</v>
      </c>
      <c r="C3" s="228" t="s">
        <v>279</v>
      </c>
      <c r="D3" s="228" t="s">
        <v>280</v>
      </c>
      <c r="E3" s="477" t="s">
        <v>281</v>
      </c>
      <c r="F3" s="477"/>
      <c r="G3" s="477" t="s">
        <v>282</v>
      </c>
      <c r="H3" s="477"/>
      <c r="I3" s="477"/>
      <c r="J3" s="477" t="s">
        <v>283</v>
      </c>
      <c r="K3" s="1"/>
      <c r="L3" s="1"/>
      <c r="M3" s="1"/>
      <c r="N3" s="1"/>
      <c r="O3" s="1"/>
      <c r="P3" s="1"/>
      <c r="Q3" s="1"/>
      <c r="R3" s="1"/>
    </row>
    <row r="4" spans="1:18" ht="39.6" x14ac:dyDescent="0.3">
      <c r="A4" s="477"/>
      <c r="B4" s="477"/>
      <c r="C4" s="427">
        <v>0.3</v>
      </c>
      <c r="D4" s="224">
        <f>M16</f>
        <v>0</v>
      </c>
      <c r="E4" s="225" t="s">
        <v>122</v>
      </c>
      <c r="F4" s="225" t="s">
        <v>69</v>
      </c>
      <c r="G4" s="225" t="s">
        <v>122</v>
      </c>
      <c r="H4" s="225" t="s">
        <v>69</v>
      </c>
      <c r="I4" s="228" t="s">
        <v>284</v>
      </c>
      <c r="J4" s="477"/>
      <c r="K4" s="1"/>
      <c r="L4" s="1"/>
      <c r="M4" s="1"/>
      <c r="N4" s="1"/>
      <c r="O4" s="1"/>
      <c r="P4" s="1"/>
      <c r="Q4" s="1"/>
      <c r="R4" s="1"/>
    </row>
    <row r="5" spans="1:18" x14ac:dyDescent="0.3">
      <c r="A5" s="1"/>
      <c r="B5" s="1"/>
      <c r="C5" s="1"/>
      <c r="D5" s="1"/>
      <c r="E5" s="1"/>
      <c r="F5" s="1"/>
      <c r="G5" s="1"/>
      <c r="H5" s="1"/>
      <c r="I5" s="1"/>
      <c r="J5" s="1"/>
      <c r="K5" s="1"/>
      <c r="L5" s="1"/>
      <c r="M5" s="1"/>
      <c r="N5" s="1"/>
      <c r="O5" s="1"/>
      <c r="P5" s="1"/>
      <c r="Q5" s="1"/>
      <c r="R5" s="1"/>
    </row>
    <row r="6" spans="1:18" x14ac:dyDescent="0.3">
      <c r="A6" s="3" t="s">
        <v>25</v>
      </c>
      <c r="B6" s="203"/>
      <c r="C6" s="203"/>
      <c r="D6" s="203"/>
      <c r="E6" s="203"/>
      <c r="F6" s="203"/>
      <c r="G6" s="203"/>
      <c r="H6" s="203"/>
      <c r="I6" s="203"/>
      <c r="J6" s="203"/>
      <c r="K6" s="203"/>
      <c r="L6" s="1"/>
      <c r="M6" s="1"/>
      <c r="N6" s="1"/>
      <c r="O6" s="1"/>
      <c r="P6" s="1"/>
      <c r="Q6" s="1"/>
      <c r="R6" s="1"/>
    </row>
    <row r="7" spans="1:18" x14ac:dyDescent="0.3">
      <c r="A7" s="41" t="str">
        <f>IF('PK Zusammenfassung'!A9=0,"",'PK Zusammenfassung'!A9)</f>
        <v/>
      </c>
      <c r="B7" s="40" t="str">
        <f>IF('PK AN-Brutto qA'!W10="","",'PK AN-Brutto qA'!W10-12*'PK AN-Brutto qA'!N10)</f>
        <v/>
      </c>
      <c r="C7" s="179"/>
      <c r="D7" s="40" t="str">
        <f t="shared" ref="D7:D9" si="0">IF(B7="","",ROUND($B7*D$4,2))</f>
        <v/>
      </c>
      <c r="E7" s="205" t="str">
        <f>IF(B7="","",IF($M$24=0,"",('PK AN-Brutto qA'!X10*$M$24+IF('PK AN-Brutto qA'!X10*$M$24&gt;=$M$25+$M$26,$M$26,IF('PK AN-Brutto qA'!X10*$M$24-$M$25&lt;=0,0,'PK AN-Brutto qA'!X10*$M$24-$M$25))*$M$31+IF('PK AN-Brutto qA'!X10*$M$24&gt;=$M$25+$M$26,$M$26,IF('PK AN-Brutto qA'!X10*$M$24-$M$25&lt;=0,0,'PK AN-Brutto qA'!X10*$M$24-$M$25))*$M$31*$M$32+IF('PK AN-Brutto qA'!X10*$M$24&gt;=$M$25+$M$26,$M$26,IF('PK AN-Brutto qA'!X10*$M$24-$M$25&lt;=0,0,'PK AN-Brutto qA'!X10*$M$24-$M$25))*$M$31*$M$33+IF('PK AN-Brutto qA'!X10*$M$24&gt;=$M$27,('PK AN-Brutto qA'!X10*$M$24-$M$27+$M$27/$M$24*$M$28-$M$29)*$M$16,('PK AN-Brutto qA'!X10*$M$24/$M$24*$M$28-$M$29)*$M$16)+'PK AN-Brutto qA'!X10*$M$34)/'PK AN-Brutto qA'!X10))</f>
        <v/>
      </c>
      <c r="F7" s="40" t="str">
        <f t="shared" ref="F7:F39" si="1">IF(E7="","",ROUND(B7*E7,2))</f>
        <v/>
      </c>
      <c r="G7" s="221"/>
      <c r="H7" s="206" t="str">
        <f t="shared" ref="H7:H39" si="2">IF(G7&gt;0,ROUND(B7*G7,2),"")</f>
        <v/>
      </c>
      <c r="I7" s="53"/>
      <c r="J7" s="206" t="str">
        <f>IF(B7="","",IF(K7="nur eine Option zur Altersversorg. möglich","FEHLER",SUM(B7,C7,D7,F7,H7,I7,12*'PK AN-Brutto qA'!N10)))</f>
        <v/>
      </c>
      <c r="K7" s="207" t="str">
        <f t="shared" ref="K7:K13" si="3">IF(COUNT(F7,G7,I7)&gt;1,"nur eine Option zur Altersversorg. möglich","")</f>
        <v/>
      </c>
      <c r="L7" s="203" t="s">
        <v>113</v>
      </c>
      <c r="M7" s="203"/>
      <c r="N7" s="30"/>
      <c r="O7" s="1"/>
      <c r="P7" s="1"/>
      <c r="Q7" s="1"/>
      <c r="R7" s="1"/>
    </row>
    <row r="8" spans="1:18" x14ac:dyDescent="0.3">
      <c r="A8" s="41" t="str">
        <f>IF('PK Zusammenfassung'!A10=0,"",'PK Zusammenfassung'!A10)</f>
        <v/>
      </c>
      <c r="B8" s="40" t="str">
        <f>IF('PK AN-Brutto qA'!W11="","",'PK AN-Brutto qA'!W11-12*'PK AN-Brutto qA'!N11)</f>
        <v/>
      </c>
      <c r="C8" s="179"/>
      <c r="D8" s="40" t="str">
        <f t="shared" si="0"/>
        <v/>
      </c>
      <c r="E8" s="205" t="str">
        <f>IF(B8="","",IF($M$24=0,"",('PK AN-Brutto qA'!X11*$M$24+IF('PK AN-Brutto qA'!X11*$M$24&gt;=$M$25+$M$26,$M$26,IF('PK AN-Brutto qA'!X11*$M$24-$M$25&lt;=0,0,'PK AN-Brutto qA'!X11*$M$24-$M$25))*$M$31+IF('PK AN-Brutto qA'!X11*$M$24&gt;=$M$25+$M$26,$M$26,IF('PK AN-Brutto qA'!X11*$M$24-$M$25&lt;=0,0,'PK AN-Brutto qA'!X11*$M$24-$M$25))*$M$31*$M$32+IF('PK AN-Brutto qA'!X11*$M$24&gt;=$M$25+$M$26,$M$26,IF('PK AN-Brutto qA'!X11*$M$24-$M$25&lt;=0,0,'PK AN-Brutto qA'!X11*$M$24-$M$25))*$M$31*$M$33+IF('PK AN-Brutto qA'!X11*$M$24&gt;=$M$27,('PK AN-Brutto qA'!X11*$M$24-$M$27+$M$27/$M$24*$M$28-$M$29)*$M$16,('PK AN-Brutto qA'!X11*$M$24/$M$24*$M$28-$M$29)*$M$16)+'PK AN-Brutto qA'!X11*$M$34)/'PK AN-Brutto qA'!X11))</f>
        <v/>
      </c>
      <c r="F8" s="40" t="str">
        <f t="shared" si="1"/>
        <v/>
      </c>
      <c r="G8" s="221"/>
      <c r="H8" s="206" t="str">
        <f t="shared" si="2"/>
        <v/>
      </c>
      <c r="I8" s="53"/>
      <c r="J8" s="206" t="str">
        <f>IF(B8="","",IF(K8="nur eine Option zur Altersversorg. möglich","FEHLER",SUM(B8,C8,D8,F8,H8,I8,12*'PK AN-Brutto qA'!N11)))</f>
        <v/>
      </c>
      <c r="K8" s="207" t="str">
        <f t="shared" si="3"/>
        <v/>
      </c>
      <c r="L8" s="41" t="s">
        <v>114</v>
      </c>
      <c r="M8" s="219"/>
      <c r="N8" s="207"/>
      <c r="O8" s="1"/>
      <c r="P8" s="1"/>
      <c r="Q8" s="1"/>
      <c r="R8" s="1"/>
    </row>
    <row r="9" spans="1:18" x14ac:dyDescent="0.3">
      <c r="A9" s="41" t="str">
        <f>IF('PK Zusammenfassung'!A11=0,"",'PK Zusammenfassung'!A11)</f>
        <v/>
      </c>
      <c r="B9" s="40" t="str">
        <f>IF('PK AN-Brutto qA'!W12="","",'PK AN-Brutto qA'!W12-12*'PK AN-Brutto qA'!N12)</f>
        <v/>
      </c>
      <c r="C9" s="179"/>
      <c r="D9" s="40" t="str">
        <f t="shared" si="0"/>
        <v/>
      </c>
      <c r="E9" s="205" t="str">
        <f>IF(B9="","",IF($M$24=0,"",('PK AN-Brutto qA'!X12*$M$24+IF('PK AN-Brutto qA'!X12*$M$24&gt;=$M$25+$M$26,$M$26,IF('PK AN-Brutto qA'!X12*$M$24-$M$25&lt;=0,0,'PK AN-Brutto qA'!X12*$M$24-$M$25))*$M$31+IF('PK AN-Brutto qA'!X12*$M$24&gt;=$M$25+$M$26,$M$26,IF('PK AN-Brutto qA'!X12*$M$24-$M$25&lt;=0,0,'PK AN-Brutto qA'!X12*$M$24-$M$25))*$M$31*$M$32+IF('PK AN-Brutto qA'!X12*$M$24&gt;=$M$25+$M$26,$M$26,IF('PK AN-Brutto qA'!X12*$M$24-$M$25&lt;=0,0,'PK AN-Brutto qA'!X12*$M$24-$M$25))*$M$31*$M$33+IF('PK AN-Brutto qA'!X12*$M$24&gt;=$M$27,('PK AN-Brutto qA'!X12*$M$24-$M$27+$M$27/$M$24*$M$28-$M$29)*$M$16,('PK AN-Brutto qA'!X12*$M$24/$M$24*$M$28-$M$29)*$M$16)+'PK AN-Brutto qA'!X12*$M$34)/'PK AN-Brutto qA'!X12))</f>
        <v/>
      </c>
      <c r="F9" s="40" t="str">
        <f t="shared" si="1"/>
        <v/>
      </c>
      <c r="G9" s="221"/>
      <c r="H9" s="206" t="str">
        <f t="shared" si="2"/>
        <v/>
      </c>
      <c r="I9" s="53"/>
      <c r="J9" s="206" t="str">
        <f>IF(B9="","",IF(K9="nur eine Option zur Altersversorg. möglich","FEHLER",SUM(B9,C9,D9,F9,H9,I9,12*'PK AN-Brutto qA'!N12)))</f>
        <v/>
      </c>
      <c r="K9" s="207" t="str">
        <f t="shared" si="3"/>
        <v/>
      </c>
      <c r="L9" s="41" t="s">
        <v>115</v>
      </c>
      <c r="M9" s="219"/>
      <c r="N9" s="30"/>
      <c r="O9" s="1"/>
      <c r="P9" s="1"/>
      <c r="Q9" s="1"/>
      <c r="R9" s="1"/>
    </row>
    <row r="10" spans="1:18" x14ac:dyDescent="0.3">
      <c r="A10" s="41" t="str">
        <f>IF('PK Zusammenfassung'!A12=0,"",'PK Zusammenfassung'!A12)</f>
        <v/>
      </c>
      <c r="B10" s="40" t="str">
        <f>IF('PK AN-Brutto qA'!W13="","",'PK AN-Brutto qA'!W13-12*'PK AN-Brutto qA'!N13)</f>
        <v/>
      </c>
      <c r="C10" s="179"/>
      <c r="D10" s="40" t="str">
        <f t="shared" ref="D10:D36" si="4">IF(B10="","",ROUND($B10*D$4,2))</f>
        <v/>
      </c>
      <c r="E10" s="205" t="str">
        <f>IF(B10="","",IF($M$24=0,"",('PK AN-Brutto qA'!X13*$M$24+IF('PK AN-Brutto qA'!X13*$M$24&gt;=$M$25+$M$26,$M$26,IF('PK AN-Brutto qA'!X13*$M$24-$M$25&lt;=0,0,'PK AN-Brutto qA'!X13*$M$24-$M$25))*$M$31+IF('PK AN-Brutto qA'!X13*$M$24&gt;=$M$25+$M$26,$M$26,IF('PK AN-Brutto qA'!X13*$M$24-$M$25&lt;=0,0,'PK AN-Brutto qA'!X13*$M$24-$M$25))*$M$31*$M$32+IF('PK AN-Brutto qA'!X13*$M$24&gt;=$M$25+$M$26,$M$26,IF('PK AN-Brutto qA'!X13*$M$24-$M$25&lt;=0,0,'PK AN-Brutto qA'!X13*$M$24-$M$25))*$M$31*$M$33+IF('PK AN-Brutto qA'!X13*$M$24&gt;=$M$27,('PK AN-Brutto qA'!X13*$M$24-$M$27+$M$27/$M$24*$M$28-$M$29)*$M$16,('PK AN-Brutto qA'!X13*$M$24/$M$24*$M$28-$M$29)*$M$16)+'PK AN-Brutto qA'!X13*$M$34)/'PK AN-Brutto qA'!X13))</f>
        <v/>
      </c>
      <c r="F10" s="40" t="str">
        <f t="shared" ref="F10:F36" si="5">IF(E10="","",ROUND(B10*E10,2))</f>
        <v/>
      </c>
      <c r="G10" s="221"/>
      <c r="H10" s="206" t="str">
        <f t="shared" si="2"/>
        <v/>
      </c>
      <c r="I10" s="53"/>
      <c r="J10" s="206" t="str">
        <f>IF(B10="","",IF(K10="nur eine Option zur Altersversorg. möglich","FEHLER",SUM(B10,C10,D10,F10,H10,I10,12*'PK AN-Brutto qA'!N13)))</f>
        <v/>
      </c>
      <c r="K10" s="207" t="str">
        <f t="shared" si="3"/>
        <v/>
      </c>
      <c r="L10" s="41" t="s">
        <v>121</v>
      </c>
      <c r="M10" s="219"/>
      <c r="N10" s="30"/>
      <c r="O10" s="1"/>
      <c r="P10" s="1"/>
      <c r="Q10" s="1"/>
      <c r="R10" s="1"/>
    </row>
    <row r="11" spans="1:18" x14ac:dyDescent="0.3">
      <c r="A11" s="41" t="str">
        <f>IF('PK Zusammenfassung'!A13=0,"",'PK Zusammenfassung'!A13)</f>
        <v/>
      </c>
      <c r="B11" s="40" t="str">
        <f>IF('PK AN-Brutto qA'!W14="","",'PK AN-Brutto qA'!W14-12*'PK AN-Brutto qA'!N14)</f>
        <v/>
      </c>
      <c r="C11" s="179"/>
      <c r="D11" s="40" t="str">
        <f t="shared" si="4"/>
        <v/>
      </c>
      <c r="E11" s="205" t="str">
        <f>IF(B11="","",IF($M$24=0,"",('PK AN-Brutto qA'!X14*$M$24+IF('PK AN-Brutto qA'!X14*$M$24&gt;=$M$25+$M$26,$M$26,IF('PK AN-Brutto qA'!X14*$M$24-$M$25&lt;=0,0,'PK AN-Brutto qA'!X14*$M$24-$M$25))*$M$31+IF('PK AN-Brutto qA'!X14*$M$24&gt;=$M$25+$M$26,$M$26,IF('PK AN-Brutto qA'!X14*$M$24-$M$25&lt;=0,0,'PK AN-Brutto qA'!X14*$M$24-$M$25))*$M$31*$M$32+IF('PK AN-Brutto qA'!X14*$M$24&gt;=$M$25+$M$26,$M$26,IF('PK AN-Brutto qA'!X14*$M$24-$M$25&lt;=0,0,'PK AN-Brutto qA'!X14*$M$24-$M$25))*$M$31*$M$33+IF('PK AN-Brutto qA'!X14*$M$24&gt;=$M$27,('PK AN-Brutto qA'!X14*$M$24-$M$27+$M$27/$M$24*$M$28-$M$29)*$M$16,('PK AN-Brutto qA'!X14*$M$24/$M$24*$M$28-$M$29)*$M$16)+'PK AN-Brutto qA'!X14*$M$34)/'PK AN-Brutto qA'!X14))</f>
        <v/>
      </c>
      <c r="F11" s="40" t="str">
        <f t="shared" si="5"/>
        <v/>
      </c>
      <c r="G11" s="221"/>
      <c r="H11" s="206" t="str">
        <f t="shared" si="2"/>
        <v/>
      </c>
      <c r="I11" s="53"/>
      <c r="J11" s="206" t="str">
        <f>IF(B11="","",IF(K11="nur eine Option zur Altersversorg. möglich","FEHLER",SUM(B11,C11,D11,F11,H11,I11,12*'PK AN-Brutto qA'!N14)))</f>
        <v/>
      </c>
      <c r="K11" s="207" t="str">
        <f t="shared" si="3"/>
        <v/>
      </c>
      <c r="L11" s="41" t="s">
        <v>116</v>
      </c>
      <c r="M11" s="219"/>
      <c r="N11" s="30"/>
      <c r="O11" s="1"/>
      <c r="P11" s="1"/>
      <c r="Q11" s="1"/>
      <c r="R11" s="1"/>
    </row>
    <row r="12" spans="1:18" x14ac:dyDescent="0.3">
      <c r="A12" s="41" t="str">
        <f>IF('PK Zusammenfassung'!A14=0,"",'PK Zusammenfassung'!A14)</f>
        <v/>
      </c>
      <c r="B12" s="40" t="str">
        <f>IF('PK AN-Brutto qA'!W15="","",'PK AN-Brutto qA'!W15-12*'PK AN-Brutto qA'!N15)</f>
        <v/>
      </c>
      <c r="C12" s="179"/>
      <c r="D12" s="40" t="str">
        <f t="shared" si="4"/>
        <v/>
      </c>
      <c r="E12" s="205" t="str">
        <f>IF(B12="","",IF($M$24=0,"",('PK AN-Brutto qA'!X15*$M$24+IF('PK AN-Brutto qA'!X15*$M$24&gt;=$M$25+$M$26,$M$26,IF('PK AN-Brutto qA'!X15*$M$24-$M$25&lt;=0,0,'PK AN-Brutto qA'!X15*$M$24-$M$25))*$M$31+IF('PK AN-Brutto qA'!X15*$M$24&gt;=$M$25+$M$26,$M$26,IF('PK AN-Brutto qA'!X15*$M$24-$M$25&lt;=0,0,'PK AN-Brutto qA'!X15*$M$24-$M$25))*$M$31*$M$32+IF('PK AN-Brutto qA'!X15*$M$24&gt;=$M$25+$M$26,$M$26,IF('PK AN-Brutto qA'!X15*$M$24-$M$25&lt;=0,0,'PK AN-Brutto qA'!X15*$M$24-$M$25))*$M$31*$M$33+IF('PK AN-Brutto qA'!X15*$M$24&gt;=$M$27,('PK AN-Brutto qA'!X15*$M$24-$M$27+$M$27/$M$24*$M$28-$M$29)*$M$16,('PK AN-Brutto qA'!X15*$M$24/$M$24*$M$28-$M$29)*$M$16)+'PK AN-Brutto qA'!X15*$M$34)/'PK AN-Brutto qA'!X15))</f>
        <v/>
      </c>
      <c r="F12" s="40" t="str">
        <f t="shared" si="5"/>
        <v/>
      </c>
      <c r="G12" s="221"/>
      <c r="H12" s="206" t="str">
        <f t="shared" si="2"/>
        <v/>
      </c>
      <c r="I12" s="53"/>
      <c r="J12" s="206" t="str">
        <f>IF(B12="","",IF(K12="nur eine Option zur Altersversorg. möglich","FEHLER",SUM(B12,C12,D12,F12,H12,I12,12*'PK AN-Brutto qA'!N15)))</f>
        <v/>
      </c>
      <c r="K12" s="207" t="str">
        <f t="shared" si="3"/>
        <v/>
      </c>
      <c r="L12" s="41" t="s">
        <v>117</v>
      </c>
      <c r="M12" s="219"/>
      <c r="N12" s="30"/>
      <c r="O12" s="1"/>
      <c r="P12" s="1"/>
      <c r="Q12" s="1"/>
      <c r="R12" s="1"/>
    </row>
    <row r="13" spans="1:18" x14ac:dyDescent="0.3">
      <c r="A13" s="41" t="str">
        <f>IF('PK Zusammenfassung'!A15=0,"",'PK Zusammenfassung'!A15)</f>
        <v/>
      </c>
      <c r="B13" s="40" t="str">
        <f>IF('PK AN-Brutto qA'!W16="","",'PK AN-Brutto qA'!W16-12*'PK AN-Brutto qA'!N16)</f>
        <v/>
      </c>
      <c r="C13" s="179"/>
      <c r="D13" s="40" t="str">
        <f t="shared" si="4"/>
        <v/>
      </c>
      <c r="E13" s="205" t="str">
        <f>IF(B13="","",IF($M$24=0,"",('PK AN-Brutto qA'!X16*$M$24+IF('PK AN-Brutto qA'!X16*$M$24&gt;=$M$25+$M$26,$M$26,IF('PK AN-Brutto qA'!X16*$M$24-$M$25&lt;=0,0,'PK AN-Brutto qA'!X16*$M$24-$M$25))*$M$31+IF('PK AN-Brutto qA'!X16*$M$24&gt;=$M$25+$M$26,$M$26,IF('PK AN-Brutto qA'!X16*$M$24-$M$25&lt;=0,0,'PK AN-Brutto qA'!X16*$M$24-$M$25))*$M$31*$M$32+IF('PK AN-Brutto qA'!X16*$M$24&gt;=$M$25+$M$26,$M$26,IF('PK AN-Brutto qA'!X16*$M$24-$M$25&lt;=0,0,'PK AN-Brutto qA'!X16*$M$24-$M$25))*$M$31*$M$33+IF('PK AN-Brutto qA'!X16*$M$24&gt;=$M$27,('PK AN-Brutto qA'!X16*$M$24-$M$27+$M$27/$M$24*$M$28-$M$29)*$M$16,('PK AN-Brutto qA'!X16*$M$24/$M$24*$M$28-$M$29)*$M$16)+'PK AN-Brutto qA'!X16*$M$34)/'PK AN-Brutto qA'!X16))</f>
        <v/>
      </c>
      <c r="F13" s="40" t="str">
        <f t="shared" si="5"/>
        <v/>
      </c>
      <c r="G13" s="221"/>
      <c r="H13" s="206" t="str">
        <f t="shared" si="2"/>
        <v/>
      </c>
      <c r="I13" s="53"/>
      <c r="J13" s="206" t="str">
        <f>IF(B13="","",IF(K13="nur eine Option zur Altersversorg. möglich","FEHLER",SUM(B13,C13,D13,F13,H13,I13,12*'PK AN-Brutto qA'!N16)))</f>
        <v/>
      </c>
      <c r="K13" s="207" t="str">
        <f t="shared" si="3"/>
        <v/>
      </c>
      <c r="L13" s="41" t="s">
        <v>118</v>
      </c>
      <c r="M13" s="219"/>
      <c r="N13" s="30"/>
      <c r="O13" s="1"/>
      <c r="P13" s="1"/>
      <c r="Q13" s="1"/>
      <c r="R13" s="1"/>
    </row>
    <row r="14" spans="1:18" x14ac:dyDescent="0.3">
      <c r="A14" s="41" t="str">
        <f>IF('PK Zusammenfassung'!A16=0,"",'PK Zusammenfassung'!A16)</f>
        <v/>
      </c>
      <c r="B14" s="40" t="str">
        <f>IF('PK AN-Brutto qA'!W17="","",'PK AN-Brutto qA'!W17-12*'PK AN-Brutto qA'!N17)</f>
        <v/>
      </c>
      <c r="C14" s="179"/>
      <c r="D14" s="40" t="str">
        <f t="shared" si="4"/>
        <v/>
      </c>
      <c r="E14" s="205" t="str">
        <f>IF(B14="","",IF($M$24=0,"",('PK AN-Brutto qA'!X17*$M$24+IF('PK AN-Brutto qA'!X17*$M$24&gt;=$M$25+$M$26,$M$26,IF('PK AN-Brutto qA'!X17*$M$24-$M$25&lt;=0,0,'PK AN-Brutto qA'!X17*$M$24-$M$25))*$M$31+IF('PK AN-Brutto qA'!X17*$M$24&gt;=$M$25+$M$26,$M$26,IF('PK AN-Brutto qA'!X17*$M$24-$M$25&lt;=0,0,'PK AN-Brutto qA'!X17*$M$24-$M$25))*$M$31*$M$32+IF('PK AN-Brutto qA'!X17*$M$24&gt;=$M$25+$M$26,$M$26,IF('PK AN-Brutto qA'!X17*$M$24-$M$25&lt;=0,0,'PK AN-Brutto qA'!X17*$M$24-$M$25))*$M$31*$M$33+IF('PK AN-Brutto qA'!X17*$M$24&gt;=$M$27,('PK AN-Brutto qA'!X17*$M$24-$M$27+$M$27/$M$24*$M$28-$M$29)*$M$16,('PK AN-Brutto qA'!X17*$M$24/$M$24*$M$28-$M$29)*$M$16)+'PK AN-Brutto qA'!X17*$M$34)/'PK AN-Brutto qA'!X17))</f>
        <v/>
      </c>
      <c r="F14" s="40" t="str">
        <f t="shared" si="5"/>
        <v/>
      </c>
      <c r="G14" s="221"/>
      <c r="H14" s="206" t="str">
        <f t="shared" si="2"/>
        <v/>
      </c>
      <c r="I14" s="53"/>
      <c r="J14" s="206" t="str">
        <f>IF(B14="","",IF(K14="nur eine Option zur Altersversorg. möglich","FEHLER",SUM(B14,C14,D14,F14,H14,I14,12*'PK AN-Brutto qA'!N17)))</f>
        <v/>
      </c>
      <c r="K14" s="207" t="str">
        <f t="shared" ref="K14:K40" si="6">IF(COUNT(F14,G14,I14)&gt;1,"nur eine Option zur Altersversorg. möglich","")</f>
        <v/>
      </c>
      <c r="L14" s="41" t="s">
        <v>119</v>
      </c>
      <c r="M14" s="219"/>
      <c r="N14" s="209"/>
      <c r="O14" s="1"/>
      <c r="P14" s="1"/>
      <c r="Q14" s="1"/>
      <c r="R14" s="1"/>
    </row>
    <row r="15" spans="1:18" ht="15" thickBot="1" x14ac:dyDescent="0.35">
      <c r="A15" s="41" t="str">
        <f>IF('PK Zusammenfassung'!A17=0,"",'PK Zusammenfassung'!A17)</f>
        <v/>
      </c>
      <c r="B15" s="40" t="str">
        <f>IF('PK AN-Brutto qA'!W18="","",'PK AN-Brutto qA'!W18-12*'PK AN-Brutto qA'!N18)</f>
        <v/>
      </c>
      <c r="C15" s="179"/>
      <c r="D15" s="40" t="str">
        <f t="shared" si="4"/>
        <v/>
      </c>
      <c r="E15" s="205" t="str">
        <f>IF(B15="","",IF($M$24=0,"",('PK AN-Brutto qA'!X18*$M$24+IF('PK AN-Brutto qA'!X18*$M$24&gt;=$M$25+$M$26,$M$26,IF('PK AN-Brutto qA'!X18*$M$24-$M$25&lt;=0,0,'PK AN-Brutto qA'!X18*$M$24-$M$25))*$M$31+IF('PK AN-Brutto qA'!X18*$M$24&gt;=$M$25+$M$26,$M$26,IF('PK AN-Brutto qA'!X18*$M$24-$M$25&lt;=0,0,'PK AN-Brutto qA'!X18*$M$24-$M$25))*$M$31*$M$32+IF('PK AN-Brutto qA'!X18*$M$24&gt;=$M$25+$M$26,$M$26,IF('PK AN-Brutto qA'!X18*$M$24-$M$25&lt;=0,0,'PK AN-Brutto qA'!X18*$M$24-$M$25))*$M$31*$M$33+IF('PK AN-Brutto qA'!X18*$M$24&gt;=$M$27,('PK AN-Brutto qA'!X18*$M$24-$M$27+$M$27/$M$24*$M$28-$M$29)*$M$16,('PK AN-Brutto qA'!X18*$M$24/$M$24*$M$28-$M$29)*$M$16)+'PK AN-Brutto qA'!X18*$M$34)/'PK AN-Brutto qA'!X18))</f>
        <v/>
      </c>
      <c r="F15" s="40" t="str">
        <f t="shared" si="5"/>
        <v/>
      </c>
      <c r="G15" s="221"/>
      <c r="H15" s="206" t="str">
        <f t="shared" si="2"/>
        <v/>
      </c>
      <c r="I15" s="53"/>
      <c r="J15" s="206" t="str">
        <f>IF(B15="","",IF(K15="nur eine Option zur Altersversorg. möglich","FEHLER",SUM(B15,C15,D15,F15,H15,I15,12*'PK AN-Brutto qA'!N18)))</f>
        <v/>
      </c>
      <c r="K15" s="207" t="str">
        <f>IF(COUNT(F15,G15,I15)&gt;1,"nur eine Option zur Altersversorg. möglich","")</f>
        <v/>
      </c>
      <c r="L15" s="41" t="s">
        <v>120</v>
      </c>
      <c r="M15" s="220"/>
      <c r="N15" s="209"/>
      <c r="O15" s="1"/>
      <c r="P15" s="1"/>
      <c r="Q15" s="1"/>
      <c r="R15" s="1"/>
    </row>
    <row r="16" spans="1:18" ht="15" thickBot="1" x14ac:dyDescent="0.35">
      <c r="A16" s="41" t="str">
        <f>IF('PK Zusammenfassung'!A18=0,"",'PK Zusammenfassung'!A18)</f>
        <v/>
      </c>
      <c r="B16" s="40" t="str">
        <f>IF('PK AN-Brutto qA'!W19="","",'PK AN-Brutto qA'!W19-12*'PK AN-Brutto qA'!N19)</f>
        <v/>
      </c>
      <c r="C16" s="179"/>
      <c r="D16" s="40" t="str">
        <f t="shared" si="4"/>
        <v/>
      </c>
      <c r="E16" s="205" t="str">
        <f>IF(B16="","",IF($M$24=0,"",('PK AN-Brutto qA'!X19*$M$24+IF('PK AN-Brutto qA'!X19*$M$24&gt;=$M$25+$M$26,$M$26,IF('PK AN-Brutto qA'!X19*$M$24-$M$25&lt;=0,0,'PK AN-Brutto qA'!X19*$M$24-$M$25))*$M$31+IF('PK AN-Brutto qA'!X19*$M$24&gt;=$M$25+$M$26,$M$26,IF('PK AN-Brutto qA'!X19*$M$24-$M$25&lt;=0,0,'PK AN-Brutto qA'!X19*$M$24-$M$25))*$M$31*$M$32+IF('PK AN-Brutto qA'!X19*$M$24&gt;=$M$25+$M$26,$M$26,IF('PK AN-Brutto qA'!X19*$M$24-$M$25&lt;=0,0,'PK AN-Brutto qA'!X19*$M$24-$M$25))*$M$31*$M$33+IF('PK AN-Brutto qA'!X19*$M$24&gt;=$M$27,('PK AN-Brutto qA'!X19*$M$24-$M$27+$M$27/$M$24*$M$28-$M$29)*$M$16,('PK AN-Brutto qA'!X19*$M$24/$M$24*$M$28-$M$29)*$M$16)+'PK AN-Brutto qA'!X19*$M$34)/'PK AN-Brutto qA'!X19))</f>
        <v/>
      </c>
      <c r="F16" s="40" t="str">
        <f t="shared" si="5"/>
        <v/>
      </c>
      <c r="G16" s="221"/>
      <c r="H16" s="206" t="str">
        <f t="shared" si="2"/>
        <v/>
      </c>
      <c r="I16" s="53"/>
      <c r="J16" s="206" t="str">
        <f>IF(B16="","",IF(K16="nur eine Option zur Altersversorg. möglich","FEHLER",SUM(B16,C16,D16,F16,H16,I16,12*'PK AN-Brutto qA'!N19)))</f>
        <v/>
      </c>
      <c r="K16" s="207" t="str">
        <f t="shared" si="6"/>
        <v/>
      </c>
      <c r="L16" s="30"/>
      <c r="M16" s="218">
        <f>SUM(M8:M15)</f>
        <v>0</v>
      </c>
      <c r="N16" s="1"/>
      <c r="O16" s="1"/>
      <c r="P16" s="1"/>
      <c r="Q16" s="1"/>
      <c r="R16" s="1"/>
    </row>
    <row r="17" spans="1:18" x14ac:dyDescent="0.3">
      <c r="A17" s="41" t="str">
        <f>IF('PK Zusammenfassung'!A19=0,"",'PK Zusammenfassung'!A19)</f>
        <v/>
      </c>
      <c r="B17" s="40" t="str">
        <f>IF('PK AN-Brutto qA'!W20="","",'PK AN-Brutto qA'!W20-12*'PK AN-Brutto qA'!N20)</f>
        <v/>
      </c>
      <c r="C17" s="179"/>
      <c r="D17" s="40" t="str">
        <f t="shared" si="4"/>
        <v/>
      </c>
      <c r="E17" s="205" t="str">
        <f>IF(B17="","",IF($M$24=0,"",('PK AN-Brutto qA'!X20*$M$24+IF('PK AN-Brutto qA'!X20*$M$24&gt;=$M$25+$M$26,$M$26,IF('PK AN-Brutto qA'!X20*$M$24-$M$25&lt;=0,0,'PK AN-Brutto qA'!X20*$M$24-$M$25))*$M$31+IF('PK AN-Brutto qA'!X20*$M$24&gt;=$M$25+$M$26,$M$26,IF('PK AN-Brutto qA'!X20*$M$24-$M$25&lt;=0,0,'PK AN-Brutto qA'!X20*$M$24-$M$25))*$M$31*$M$32+IF('PK AN-Brutto qA'!X20*$M$24&gt;=$M$25+$M$26,$M$26,IF('PK AN-Brutto qA'!X20*$M$24-$M$25&lt;=0,0,'PK AN-Brutto qA'!X20*$M$24-$M$25))*$M$31*$M$33+IF('PK AN-Brutto qA'!X20*$M$24&gt;=$M$27,('PK AN-Brutto qA'!X20*$M$24-$M$27+$M$27/$M$24*$M$28-$M$29)*$M$16,('PK AN-Brutto qA'!X20*$M$24/$M$24*$M$28-$M$29)*$M$16)+'PK AN-Brutto qA'!X20*$M$34)/'PK AN-Brutto qA'!X20))</f>
        <v/>
      </c>
      <c r="F17" s="40" t="str">
        <f t="shared" si="5"/>
        <v/>
      </c>
      <c r="G17" s="221"/>
      <c r="H17" s="206" t="str">
        <f t="shared" si="2"/>
        <v/>
      </c>
      <c r="I17" s="53"/>
      <c r="J17" s="206" t="str">
        <f>IF(B17="","",IF(K17="nur eine Option zur Altersversorg. möglich","FEHLER",SUM(B17,C17,D17,F17,H17,I17,12*'PK AN-Brutto qA'!N20)))</f>
        <v/>
      </c>
      <c r="K17" s="207" t="str">
        <f t="shared" si="6"/>
        <v/>
      </c>
      <c r="L17" s="30"/>
      <c r="M17" s="257"/>
      <c r="N17" s="1"/>
      <c r="O17" s="1"/>
      <c r="P17" s="1"/>
      <c r="Q17" s="1"/>
      <c r="R17" s="1"/>
    </row>
    <row r="18" spans="1:18" x14ac:dyDescent="0.3">
      <c r="A18" s="41" t="str">
        <f>IF('PK Zusammenfassung'!A20=0,"",'PK Zusammenfassung'!A20)</f>
        <v/>
      </c>
      <c r="B18" s="40" t="str">
        <f>IF('PK AN-Brutto qA'!W21="","",'PK AN-Brutto qA'!W21-12*'PK AN-Brutto qA'!N21)</f>
        <v/>
      </c>
      <c r="C18" s="179"/>
      <c r="D18" s="40" t="str">
        <f t="shared" si="4"/>
        <v/>
      </c>
      <c r="E18" s="205" t="str">
        <f>IF(B18="","",IF($M$24=0,"",('PK AN-Brutto qA'!X21*$M$24+IF('PK AN-Brutto qA'!X21*$M$24&gt;=$M$25+$M$26,$M$26,IF('PK AN-Brutto qA'!X21*$M$24-$M$25&lt;=0,0,'PK AN-Brutto qA'!X21*$M$24-$M$25))*$M$31+IF('PK AN-Brutto qA'!X21*$M$24&gt;=$M$25+$M$26,$M$26,IF('PK AN-Brutto qA'!X21*$M$24-$M$25&lt;=0,0,'PK AN-Brutto qA'!X21*$M$24-$M$25))*$M$31*$M$32+IF('PK AN-Brutto qA'!X21*$M$24&gt;=$M$25+$M$26,$M$26,IF('PK AN-Brutto qA'!X21*$M$24-$M$25&lt;=0,0,'PK AN-Brutto qA'!X21*$M$24-$M$25))*$M$31*$M$33+IF('PK AN-Brutto qA'!X21*$M$24&gt;=$M$27,('PK AN-Brutto qA'!X21*$M$24-$M$27+$M$27/$M$24*$M$28-$M$29)*$M$16,('PK AN-Brutto qA'!X21*$M$24/$M$24*$M$28-$M$29)*$M$16)+'PK AN-Brutto qA'!X21*$M$34)/'PK AN-Brutto qA'!X21))</f>
        <v/>
      </c>
      <c r="F18" s="40" t="str">
        <f t="shared" si="5"/>
        <v/>
      </c>
      <c r="G18" s="221"/>
      <c r="H18" s="206" t="str">
        <f t="shared" si="2"/>
        <v/>
      </c>
      <c r="I18" s="53"/>
      <c r="J18" s="206" t="str">
        <f>IF(B18="","",IF(K18="nur eine Option zur Altersversorg. möglich","FEHLER",SUM(B18,C18,D18,F18,H18,I18,12*'PK AN-Brutto qA'!N21)))</f>
        <v/>
      </c>
      <c r="K18" s="207" t="str">
        <f t="shared" si="6"/>
        <v/>
      </c>
      <c r="L18" s="30"/>
      <c r="M18" s="257"/>
      <c r="N18" s="1"/>
      <c r="O18" s="1"/>
      <c r="P18" s="1"/>
      <c r="Q18" s="1"/>
      <c r="R18" s="1"/>
    </row>
    <row r="19" spans="1:18" x14ac:dyDescent="0.3">
      <c r="A19" s="41" t="str">
        <f>IF('PK Zusammenfassung'!A21=0,"",'PK Zusammenfassung'!A21)</f>
        <v/>
      </c>
      <c r="B19" s="40" t="str">
        <f>IF('PK AN-Brutto qA'!W22="","",'PK AN-Brutto qA'!W22-12*'PK AN-Brutto qA'!N22)</f>
        <v/>
      </c>
      <c r="C19" s="179"/>
      <c r="D19" s="40" t="str">
        <f t="shared" si="4"/>
        <v/>
      </c>
      <c r="E19" s="205" t="str">
        <f>IF(B19="","",IF($M$24=0,"",('PK AN-Brutto qA'!X22*$M$24+IF('PK AN-Brutto qA'!X22*$M$24&gt;=$M$25+$M$26,$M$26,IF('PK AN-Brutto qA'!X22*$M$24-$M$25&lt;=0,0,'PK AN-Brutto qA'!X22*$M$24-$M$25))*$M$31+IF('PK AN-Brutto qA'!X22*$M$24&gt;=$M$25+$M$26,$M$26,IF('PK AN-Brutto qA'!X22*$M$24-$M$25&lt;=0,0,'PK AN-Brutto qA'!X22*$M$24-$M$25))*$M$31*$M$32+IF('PK AN-Brutto qA'!X22*$M$24&gt;=$M$25+$M$26,$M$26,IF('PK AN-Brutto qA'!X22*$M$24-$M$25&lt;=0,0,'PK AN-Brutto qA'!X22*$M$24-$M$25))*$M$31*$M$33+IF('PK AN-Brutto qA'!X22*$M$24&gt;=$M$27,('PK AN-Brutto qA'!X22*$M$24-$M$27+$M$27/$M$24*$M$28-$M$29)*$M$16,('PK AN-Brutto qA'!X22*$M$24/$M$24*$M$28-$M$29)*$M$16)+'PK AN-Brutto qA'!X22*$M$34)/'PK AN-Brutto qA'!X22))</f>
        <v/>
      </c>
      <c r="F19" s="40" t="str">
        <f t="shared" si="5"/>
        <v/>
      </c>
      <c r="G19" s="221"/>
      <c r="H19" s="206" t="str">
        <f t="shared" si="2"/>
        <v/>
      </c>
      <c r="I19" s="53"/>
      <c r="J19" s="206" t="str">
        <f>IF(B19="","",IF(K19="nur eine Option zur Altersversorg. möglich","FEHLER",SUM(B19,C19,D19,F19,H19,I19,12*'PK AN-Brutto qA'!N22)))</f>
        <v/>
      </c>
      <c r="K19" s="207" t="str">
        <f t="shared" si="6"/>
        <v/>
      </c>
      <c r="L19" s="3" t="s">
        <v>49</v>
      </c>
      <c r="N19" s="1"/>
      <c r="O19" s="1"/>
      <c r="P19" s="1"/>
      <c r="Q19" s="1"/>
      <c r="R19" s="1"/>
    </row>
    <row r="20" spans="1:18" x14ac:dyDescent="0.3">
      <c r="A20" s="41" t="str">
        <f>IF('PK Zusammenfassung'!A22=0,"",'PK Zusammenfassung'!A22)</f>
        <v/>
      </c>
      <c r="B20" s="40" t="str">
        <f>IF('PK AN-Brutto qA'!W23="","",'PK AN-Brutto qA'!W23-12*'PK AN-Brutto qA'!N23)</f>
        <v/>
      </c>
      <c r="C20" s="179"/>
      <c r="D20" s="40" t="str">
        <f t="shared" si="4"/>
        <v/>
      </c>
      <c r="E20" s="205" t="str">
        <f>IF(B20="","",IF($M$24=0,"",('PK AN-Brutto qA'!X23*$M$24+IF('PK AN-Brutto qA'!X23*$M$24&gt;=$M$25+$M$26,$M$26,IF('PK AN-Brutto qA'!X23*$M$24-$M$25&lt;=0,0,'PK AN-Brutto qA'!X23*$M$24-$M$25))*$M$31+IF('PK AN-Brutto qA'!X23*$M$24&gt;=$M$25+$M$26,$M$26,IF('PK AN-Brutto qA'!X23*$M$24-$M$25&lt;=0,0,'PK AN-Brutto qA'!X23*$M$24-$M$25))*$M$31*$M$32+IF('PK AN-Brutto qA'!X23*$M$24&gt;=$M$25+$M$26,$M$26,IF('PK AN-Brutto qA'!X23*$M$24-$M$25&lt;=0,0,'PK AN-Brutto qA'!X23*$M$24-$M$25))*$M$31*$M$33+IF('PK AN-Brutto qA'!X23*$M$24&gt;=$M$27,('PK AN-Brutto qA'!X23*$M$24-$M$27+$M$27/$M$24*$M$28-$M$29)*$M$16,('PK AN-Brutto qA'!X23*$M$24/$M$24*$M$28-$M$29)*$M$16)+'PK AN-Brutto qA'!X23*$M$34)/'PK AN-Brutto qA'!X23))</f>
        <v/>
      </c>
      <c r="F20" s="40" t="str">
        <f t="shared" si="5"/>
        <v/>
      </c>
      <c r="G20" s="221"/>
      <c r="H20" s="206" t="str">
        <f t="shared" si="2"/>
        <v/>
      </c>
      <c r="I20" s="53"/>
      <c r="J20" s="206" t="str">
        <f>IF(B20="","",IF(K20="nur eine Option zur Altersversorg. möglich","FEHLER",SUM(B20,C20,D20,F20,H20,I20,12*'PK AN-Brutto qA'!N23)))</f>
        <v/>
      </c>
      <c r="K20" s="207" t="str">
        <f t="shared" si="6"/>
        <v/>
      </c>
      <c r="L20" s="132" t="s">
        <v>50</v>
      </c>
      <c r="M20" s="241"/>
      <c r="N20" s="44" t="str">
        <f>IF('PK Zusammenfassung'!I102&gt;0,ROUND('PK Zusammenfassung'!I102*M20,2),"")</f>
        <v/>
      </c>
      <c r="O20" s="1"/>
      <c r="P20" s="1"/>
      <c r="Q20" s="1"/>
      <c r="R20" s="1"/>
    </row>
    <row r="21" spans="1:18" x14ac:dyDescent="0.3">
      <c r="A21" s="41" t="str">
        <f>IF('PK Zusammenfassung'!A23=0,"",'PK Zusammenfassung'!A23)</f>
        <v/>
      </c>
      <c r="B21" s="40" t="str">
        <f>IF('PK AN-Brutto qA'!W24="","",'PK AN-Brutto qA'!W24-12*'PK AN-Brutto qA'!N24)</f>
        <v/>
      </c>
      <c r="C21" s="179"/>
      <c r="D21" s="40" t="str">
        <f t="shared" si="4"/>
        <v/>
      </c>
      <c r="E21" s="205" t="str">
        <f>IF(B21="","",IF($M$24=0,"",('PK AN-Brutto qA'!X24*$M$24+IF('PK AN-Brutto qA'!X24*$M$24&gt;=$M$25+$M$26,$M$26,IF('PK AN-Brutto qA'!X24*$M$24-$M$25&lt;=0,0,'PK AN-Brutto qA'!X24*$M$24-$M$25))*$M$31+IF('PK AN-Brutto qA'!X24*$M$24&gt;=$M$25+$M$26,$M$26,IF('PK AN-Brutto qA'!X24*$M$24-$M$25&lt;=0,0,'PK AN-Brutto qA'!X24*$M$24-$M$25))*$M$31*$M$32+IF('PK AN-Brutto qA'!X24*$M$24&gt;=$M$25+$M$26,$M$26,IF('PK AN-Brutto qA'!X24*$M$24-$M$25&lt;=0,0,'PK AN-Brutto qA'!X24*$M$24-$M$25))*$M$31*$M$33+IF('PK AN-Brutto qA'!X24*$M$24&gt;=$M$27,('PK AN-Brutto qA'!X24*$M$24-$M$27+$M$27/$M$24*$M$28-$M$29)*$M$16,('PK AN-Brutto qA'!X24*$M$24/$M$24*$M$28-$M$29)*$M$16)+'PK AN-Brutto qA'!X24*$M$34)/'PK AN-Brutto qA'!X24))</f>
        <v/>
      </c>
      <c r="F21" s="40" t="str">
        <f t="shared" si="5"/>
        <v/>
      </c>
      <c r="G21" s="221"/>
      <c r="H21" s="206" t="str">
        <f t="shared" si="2"/>
        <v/>
      </c>
      <c r="I21" s="53"/>
      <c r="J21" s="206" t="str">
        <f>IF(B21="","",IF(K21="nur eine Option zur Altersversorg. möglich","FEHLER",SUM(B21,C21,D21,F21,H21,I21,12*'PK AN-Brutto qA'!N24)))</f>
        <v/>
      </c>
      <c r="K21" s="207" t="str">
        <f t="shared" si="6"/>
        <v/>
      </c>
      <c r="L21" s="1"/>
      <c r="M21" s="1"/>
      <c r="N21" s="1"/>
      <c r="O21" s="1"/>
      <c r="P21" s="1"/>
      <c r="Q21" s="1"/>
      <c r="R21" s="1"/>
    </row>
    <row r="22" spans="1:18" x14ac:dyDescent="0.3">
      <c r="A22" s="41" t="str">
        <f>IF('PK Zusammenfassung'!A24=0,"",'PK Zusammenfassung'!A24)</f>
        <v/>
      </c>
      <c r="B22" s="40" t="str">
        <f>IF('PK AN-Brutto qA'!W25="","",'PK AN-Brutto qA'!W25-12*'PK AN-Brutto qA'!N25)</f>
        <v/>
      </c>
      <c r="C22" s="179"/>
      <c r="D22" s="40" t="str">
        <f t="shared" si="4"/>
        <v/>
      </c>
      <c r="E22" s="205" t="str">
        <f>IF(B22="","",IF($M$24=0,"",('PK AN-Brutto qA'!X25*$M$24+IF('PK AN-Brutto qA'!X25*$M$24&gt;=$M$25+$M$26,$M$26,IF('PK AN-Brutto qA'!X25*$M$24-$M$25&lt;=0,0,'PK AN-Brutto qA'!X25*$M$24-$M$25))*$M$31+IF('PK AN-Brutto qA'!X25*$M$24&gt;=$M$25+$M$26,$M$26,IF('PK AN-Brutto qA'!X25*$M$24-$M$25&lt;=0,0,'PK AN-Brutto qA'!X25*$M$24-$M$25))*$M$31*$M$32+IF('PK AN-Brutto qA'!X25*$M$24&gt;=$M$25+$M$26,$M$26,IF('PK AN-Brutto qA'!X25*$M$24-$M$25&lt;=0,0,'PK AN-Brutto qA'!X25*$M$24-$M$25))*$M$31*$M$33+IF('PK AN-Brutto qA'!X25*$M$24&gt;=$M$27,('PK AN-Brutto qA'!X25*$M$24-$M$27+$M$27/$M$24*$M$28-$M$29)*$M$16,('PK AN-Brutto qA'!X25*$M$24/$M$24*$M$28-$M$29)*$M$16)+'PK AN-Brutto qA'!X25*$M$34)/'PK AN-Brutto qA'!X25))</f>
        <v/>
      </c>
      <c r="F22" s="40" t="str">
        <f t="shared" si="5"/>
        <v/>
      </c>
      <c r="G22" s="221"/>
      <c r="H22" s="206" t="str">
        <f t="shared" si="2"/>
        <v/>
      </c>
      <c r="I22" s="53"/>
      <c r="J22" s="206" t="str">
        <f>IF(B22="","",IF(K22="nur eine Option zur Altersversorg. möglich","FEHLER",SUM(B22,C22,D22,F22,H22,I22,12*'PK AN-Brutto qA'!N25)))</f>
        <v/>
      </c>
      <c r="K22" s="207" t="str">
        <f t="shared" si="6"/>
        <v/>
      </c>
      <c r="L22" s="1"/>
      <c r="M22" s="1"/>
      <c r="N22" s="1"/>
      <c r="O22" s="1"/>
      <c r="P22" s="1"/>
      <c r="Q22" s="1"/>
      <c r="R22" s="1"/>
    </row>
    <row r="23" spans="1:18" x14ac:dyDescent="0.3">
      <c r="A23" s="41" t="str">
        <f>IF('PK Zusammenfassung'!A25=0,"",'PK Zusammenfassung'!A25)</f>
        <v/>
      </c>
      <c r="B23" s="40" t="str">
        <f>IF('PK AN-Brutto qA'!W26="","",'PK AN-Brutto qA'!W26-12*'PK AN-Brutto qA'!N26)</f>
        <v/>
      </c>
      <c r="C23" s="179"/>
      <c r="D23" s="40" t="str">
        <f t="shared" si="4"/>
        <v/>
      </c>
      <c r="E23" s="205" t="str">
        <f>IF(B23="","",IF($M$24=0,"",('PK AN-Brutto qA'!X26*$M$24+IF('PK AN-Brutto qA'!X26*$M$24&gt;=$M$25+$M$26,$M$26,IF('PK AN-Brutto qA'!X26*$M$24-$M$25&lt;=0,0,'PK AN-Brutto qA'!X26*$M$24-$M$25))*$M$31+IF('PK AN-Brutto qA'!X26*$M$24&gt;=$M$25+$M$26,$M$26,IF('PK AN-Brutto qA'!X26*$M$24-$M$25&lt;=0,0,'PK AN-Brutto qA'!X26*$M$24-$M$25))*$M$31*$M$32+IF('PK AN-Brutto qA'!X26*$M$24&gt;=$M$25+$M$26,$M$26,IF('PK AN-Brutto qA'!X26*$M$24-$M$25&lt;=0,0,'PK AN-Brutto qA'!X26*$M$24-$M$25))*$M$31*$M$33+IF('PK AN-Brutto qA'!X26*$M$24&gt;=$M$27,('PK AN-Brutto qA'!X26*$M$24-$M$27+$M$27/$M$24*$M$28-$M$29)*$M$16,('PK AN-Brutto qA'!X26*$M$24/$M$24*$M$28-$M$29)*$M$16)+'PK AN-Brutto qA'!X26*$M$34)/'PK AN-Brutto qA'!X26))</f>
        <v/>
      </c>
      <c r="F23" s="40" t="str">
        <f t="shared" si="5"/>
        <v/>
      </c>
      <c r="G23" s="221"/>
      <c r="H23" s="206" t="str">
        <f t="shared" si="2"/>
        <v/>
      </c>
      <c r="I23" s="53"/>
      <c r="J23" s="206" t="str">
        <f>IF(B23="","",IF(K23="nur eine Option zur Altersversorg. möglich","FEHLER",SUM(B23,C23,D23,F23,H23,I23,12*'PK AN-Brutto qA'!N26)))</f>
        <v/>
      </c>
      <c r="K23" s="207" t="str">
        <f t="shared" si="6"/>
        <v/>
      </c>
      <c r="L23" s="37" t="s">
        <v>93</v>
      </c>
      <c r="M23" s="30"/>
      <c r="N23" s="203"/>
      <c r="O23" s="37" t="s">
        <v>94</v>
      </c>
      <c r="P23" s="30"/>
      <c r="Q23" s="30"/>
      <c r="R23" s="30"/>
    </row>
    <row r="24" spans="1:18" x14ac:dyDescent="0.3">
      <c r="A24" s="41" t="str">
        <f>IF('PK Zusammenfassung'!A26=0,"",'PK Zusammenfassung'!A26)</f>
        <v/>
      </c>
      <c r="B24" s="40" t="str">
        <f>IF('PK AN-Brutto qA'!W27="","",'PK AN-Brutto qA'!W27-12*'PK AN-Brutto qA'!N27)</f>
        <v/>
      </c>
      <c r="C24" s="179"/>
      <c r="D24" s="40" t="str">
        <f t="shared" si="4"/>
        <v/>
      </c>
      <c r="E24" s="205" t="str">
        <f>IF(B24="","",IF($M$24=0,"",('PK AN-Brutto qA'!X27*$M$24+IF('PK AN-Brutto qA'!X27*$M$24&gt;=$M$25+$M$26,$M$26,IF('PK AN-Brutto qA'!X27*$M$24-$M$25&lt;=0,0,'PK AN-Brutto qA'!X27*$M$24-$M$25))*$M$31+IF('PK AN-Brutto qA'!X27*$M$24&gt;=$M$25+$M$26,$M$26,IF('PK AN-Brutto qA'!X27*$M$24-$M$25&lt;=0,0,'PK AN-Brutto qA'!X27*$M$24-$M$25))*$M$31*$M$32+IF('PK AN-Brutto qA'!X27*$M$24&gt;=$M$25+$M$26,$M$26,IF('PK AN-Brutto qA'!X27*$M$24-$M$25&lt;=0,0,'PK AN-Brutto qA'!X27*$M$24-$M$25))*$M$31*$M$33+IF('PK AN-Brutto qA'!X27*$M$24&gt;=$M$27,('PK AN-Brutto qA'!X27*$M$24-$M$27+$M$27/$M$24*$M$28-$M$29)*$M$16,('PK AN-Brutto qA'!X27*$M$24/$M$24*$M$28-$M$29)*$M$16)+'PK AN-Brutto qA'!X27*$M$34)/'PK AN-Brutto qA'!X27))</f>
        <v/>
      </c>
      <c r="F24" s="40" t="str">
        <f t="shared" si="5"/>
        <v/>
      </c>
      <c r="G24" s="221"/>
      <c r="H24" s="206" t="str">
        <f t="shared" si="2"/>
        <v/>
      </c>
      <c r="I24" s="53"/>
      <c r="J24" s="206" t="str">
        <f>IF(B24="","",IF(K24="nur eine Option zur Altersversorg. möglich","FEHLER",SUM(B24,C24,D24,F24,H24,I24,12*'PK AN-Brutto qA'!N27)))</f>
        <v/>
      </c>
      <c r="K24" s="207" t="str">
        <f t="shared" si="6"/>
        <v/>
      </c>
      <c r="L24" s="41" t="s">
        <v>96</v>
      </c>
      <c r="M24" s="221"/>
      <c r="N24" s="30"/>
      <c r="O24" s="521" t="s">
        <v>95</v>
      </c>
      <c r="P24" s="521"/>
      <c r="Q24" s="522"/>
      <c r="R24" s="140"/>
    </row>
    <row r="25" spans="1:18" x14ac:dyDescent="0.3">
      <c r="A25" s="41" t="str">
        <f>IF('PK Zusammenfassung'!A27=0,"",'PK Zusammenfassung'!A27)</f>
        <v/>
      </c>
      <c r="B25" s="40" t="str">
        <f>IF('PK AN-Brutto qA'!W28="","",'PK AN-Brutto qA'!W28-12*'PK AN-Brutto qA'!N28)</f>
        <v/>
      </c>
      <c r="C25" s="179"/>
      <c r="D25" s="40" t="str">
        <f t="shared" si="4"/>
        <v/>
      </c>
      <c r="E25" s="205" t="str">
        <f>IF(B25="","",IF($M$24=0,"",('PK AN-Brutto qA'!X28*$M$24+IF('PK AN-Brutto qA'!X28*$M$24&gt;=$M$25+$M$26,$M$26,IF('PK AN-Brutto qA'!X28*$M$24-$M$25&lt;=0,0,'PK AN-Brutto qA'!X28*$M$24-$M$25))*$M$31+IF('PK AN-Brutto qA'!X28*$M$24&gt;=$M$25+$M$26,$M$26,IF('PK AN-Brutto qA'!X28*$M$24-$M$25&lt;=0,0,'PK AN-Brutto qA'!X28*$M$24-$M$25))*$M$31*$M$32+IF('PK AN-Brutto qA'!X28*$M$24&gt;=$M$25+$M$26,$M$26,IF('PK AN-Brutto qA'!X28*$M$24-$M$25&lt;=0,0,'PK AN-Brutto qA'!X28*$M$24-$M$25))*$M$31*$M$33+IF('PK AN-Brutto qA'!X28*$M$24&gt;=$M$27,('PK AN-Brutto qA'!X28*$M$24-$M$27+$M$27/$M$24*$M$28-$M$29)*$M$16,('PK AN-Brutto qA'!X28*$M$24/$M$24*$M$28-$M$29)*$M$16)+'PK AN-Brutto qA'!X28*$M$34)/'PK AN-Brutto qA'!X28))</f>
        <v/>
      </c>
      <c r="F25" s="40" t="str">
        <f t="shared" si="5"/>
        <v/>
      </c>
      <c r="G25" s="221"/>
      <c r="H25" s="206" t="str">
        <f t="shared" si="2"/>
        <v/>
      </c>
      <c r="I25" s="53"/>
      <c r="J25" s="206" t="str">
        <f>IF(B25="","",IF(K25="nur eine Option zur Altersversorg. möglich","FEHLER",SUM(B25,C25,D25,F25,H25,I25,12*'PK AN-Brutto qA'!N28)))</f>
        <v/>
      </c>
      <c r="K25" s="207" t="str">
        <f t="shared" si="6"/>
        <v/>
      </c>
      <c r="L25" s="41" t="s">
        <v>97</v>
      </c>
      <c r="M25" s="222"/>
      <c r="N25" s="30"/>
      <c r="O25" s="30" t="s">
        <v>96</v>
      </c>
      <c r="P25" s="30"/>
      <c r="Q25" s="30"/>
      <c r="R25" s="118">
        <f>R24*M24</f>
        <v>0</v>
      </c>
    </row>
    <row r="26" spans="1:18" x14ac:dyDescent="0.3">
      <c r="A26" s="41" t="str">
        <f>IF('PK Zusammenfassung'!A28=0,"",'PK Zusammenfassung'!A28)</f>
        <v/>
      </c>
      <c r="B26" s="40" t="str">
        <f>IF('PK AN-Brutto qA'!W29="","",'PK AN-Brutto qA'!W29-12*'PK AN-Brutto qA'!N29)</f>
        <v/>
      </c>
      <c r="C26" s="179"/>
      <c r="D26" s="40" t="str">
        <f t="shared" si="4"/>
        <v/>
      </c>
      <c r="E26" s="205" t="str">
        <f>IF(B26="","",IF($M$24=0,"",('PK AN-Brutto qA'!X29*$M$24+IF('PK AN-Brutto qA'!X29*$M$24&gt;=$M$25+$M$26,$M$26,IF('PK AN-Brutto qA'!X29*$M$24-$M$25&lt;=0,0,'PK AN-Brutto qA'!X29*$M$24-$M$25))*$M$31+IF('PK AN-Brutto qA'!X29*$M$24&gt;=$M$25+$M$26,$M$26,IF('PK AN-Brutto qA'!X29*$M$24-$M$25&lt;=0,0,'PK AN-Brutto qA'!X29*$M$24-$M$25))*$M$31*$M$32+IF('PK AN-Brutto qA'!X29*$M$24&gt;=$M$25+$M$26,$M$26,IF('PK AN-Brutto qA'!X29*$M$24-$M$25&lt;=0,0,'PK AN-Brutto qA'!X29*$M$24-$M$25))*$M$31*$M$33+IF('PK AN-Brutto qA'!X29*$M$24&gt;=$M$27,('PK AN-Brutto qA'!X29*$M$24-$M$27+$M$27/$M$24*$M$28-$M$29)*$M$16,('PK AN-Brutto qA'!X29*$M$24/$M$24*$M$28-$M$29)*$M$16)+'PK AN-Brutto qA'!X29*$M$34)/'PK AN-Brutto qA'!X29))</f>
        <v/>
      </c>
      <c r="F26" s="40" t="str">
        <f t="shared" si="5"/>
        <v/>
      </c>
      <c r="G26" s="221"/>
      <c r="H26" s="206" t="str">
        <f t="shared" si="2"/>
        <v/>
      </c>
      <c r="I26" s="53"/>
      <c r="J26" s="206" t="str">
        <f>IF(B26="","",IF(K26="nur eine Option zur Altersversorg. möglich","FEHLER",SUM(B26,C26,D26,F26,H26,I26,12*'PK AN-Brutto qA'!N29)))</f>
        <v/>
      </c>
      <c r="K26" s="207" t="str">
        <f t="shared" si="6"/>
        <v/>
      </c>
      <c r="L26" s="41" t="s">
        <v>99</v>
      </c>
      <c r="M26" s="222"/>
      <c r="N26" s="30"/>
      <c r="O26" s="30" t="s">
        <v>98</v>
      </c>
      <c r="P26" s="30"/>
      <c r="Q26" s="95">
        <f>IF(R25-M25&gt;=0,R25-M25,0)</f>
        <v>0</v>
      </c>
      <c r="R26" s="30"/>
    </row>
    <row r="27" spans="1:18" x14ac:dyDescent="0.3">
      <c r="A27" s="41" t="str">
        <f>IF('PK Zusammenfassung'!A29=0,"",'PK Zusammenfassung'!A29)</f>
        <v/>
      </c>
      <c r="B27" s="40" t="str">
        <f>IF('PK AN-Brutto qA'!W30="","",'PK AN-Brutto qA'!W30-12*'PK AN-Brutto qA'!N30)</f>
        <v/>
      </c>
      <c r="C27" s="179"/>
      <c r="D27" s="40" t="str">
        <f t="shared" si="4"/>
        <v/>
      </c>
      <c r="E27" s="205" t="str">
        <f>IF(B27="","",IF($M$24=0,"",('PK AN-Brutto qA'!X30*$M$24+IF('PK AN-Brutto qA'!X30*$M$24&gt;=$M$25+$M$26,$M$26,IF('PK AN-Brutto qA'!X30*$M$24-$M$25&lt;=0,0,'PK AN-Brutto qA'!X30*$M$24-$M$25))*$M$31+IF('PK AN-Brutto qA'!X30*$M$24&gt;=$M$25+$M$26,$M$26,IF('PK AN-Brutto qA'!X30*$M$24-$M$25&lt;=0,0,'PK AN-Brutto qA'!X30*$M$24-$M$25))*$M$31*$M$32+IF('PK AN-Brutto qA'!X30*$M$24&gt;=$M$25+$M$26,$M$26,IF('PK AN-Brutto qA'!X30*$M$24-$M$25&lt;=0,0,'PK AN-Brutto qA'!X30*$M$24-$M$25))*$M$31*$M$33+IF('PK AN-Brutto qA'!X30*$M$24&gt;=$M$27,('PK AN-Brutto qA'!X30*$M$24-$M$27+$M$27/$M$24*$M$28-$M$29)*$M$16,('PK AN-Brutto qA'!X30*$M$24/$M$24*$M$28-$M$29)*$M$16)+'PK AN-Brutto qA'!X30*$M$34)/'PK AN-Brutto qA'!X30))</f>
        <v/>
      </c>
      <c r="F27" s="40" t="str">
        <f t="shared" si="5"/>
        <v/>
      </c>
      <c r="G27" s="221"/>
      <c r="H27" s="206" t="str">
        <f t="shared" si="2"/>
        <v/>
      </c>
      <c r="I27" s="53"/>
      <c r="J27" s="206" t="str">
        <f>IF(B27="","",IF(K27="nur eine Option zur Altersversorg. möglich","FEHLER",SUM(B27,C27,D27,F27,H27,I27,12*'PK AN-Brutto qA'!N30)))</f>
        <v/>
      </c>
      <c r="K27" s="207" t="str">
        <f t="shared" si="6"/>
        <v/>
      </c>
      <c r="L27" s="41" t="s">
        <v>101</v>
      </c>
      <c r="M27" s="222"/>
      <c r="N27" s="30"/>
      <c r="O27" s="30" t="s">
        <v>100</v>
      </c>
      <c r="P27" s="30"/>
      <c r="Q27" s="208">
        <f>IF(Q26&lt;=M26,Q26,M26)</f>
        <v>0</v>
      </c>
      <c r="R27" s="95"/>
    </row>
    <row r="28" spans="1:18" x14ac:dyDescent="0.3">
      <c r="A28" s="41" t="str">
        <f>IF('PK Zusammenfassung'!A30=0,"",'PK Zusammenfassung'!A30)</f>
        <v/>
      </c>
      <c r="B28" s="40" t="str">
        <f>IF('PK AN-Brutto qA'!W31="","",'PK AN-Brutto qA'!W31-12*'PK AN-Brutto qA'!N31)</f>
        <v/>
      </c>
      <c r="C28" s="179"/>
      <c r="D28" s="40" t="str">
        <f t="shared" si="4"/>
        <v/>
      </c>
      <c r="E28" s="205" t="str">
        <f>IF(B28="","",IF($M$24=0,"",('PK AN-Brutto qA'!X31*$M$24+IF('PK AN-Brutto qA'!X31*$M$24&gt;=$M$25+$M$26,$M$26,IF('PK AN-Brutto qA'!X31*$M$24-$M$25&lt;=0,0,'PK AN-Brutto qA'!X31*$M$24-$M$25))*$M$31+IF('PK AN-Brutto qA'!X31*$M$24&gt;=$M$25+$M$26,$M$26,IF('PK AN-Brutto qA'!X31*$M$24-$M$25&lt;=0,0,'PK AN-Brutto qA'!X31*$M$24-$M$25))*$M$31*$M$32+IF('PK AN-Brutto qA'!X31*$M$24&gt;=$M$25+$M$26,$M$26,IF('PK AN-Brutto qA'!X31*$M$24-$M$25&lt;=0,0,'PK AN-Brutto qA'!X31*$M$24-$M$25))*$M$31*$M$33+IF('PK AN-Brutto qA'!X31*$M$24&gt;=$M$27,('PK AN-Brutto qA'!X31*$M$24-$M$27+$M$27/$M$24*$M$28-$M$29)*$M$16,('PK AN-Brutto qA'!X31*$M$24/$M$24*$M$28-$M$29)*$M$16)+'PK AN-Brutto qA'!X31*$M$34)/'PK AN-Brutto qA'!X31))</f>
        <v/>
      </c>
      <c r="F28" s="40" t="str">
        <f t="shared" si="5"/>
        <v/>
      </c>
      <c r="G28" s="221"/>
      <c r="H28" s="206" t="str">
        <f t="shared" si="2"/>
        <v/>
      </c>
      <c r="I28" s="53"/>
      <c r="J28" s="206" t="str">
        <f>IF(B28="","",IF(K28="nur eine Option zur Altersversorg. möglich","FEHLER",SUM(B28,C28,D28,F28,H28,I28,12*'PK AN-Brutto qA'!N31)))</f>
        <v/>
      </c>
      <c r="K28" s="207" t="str">
        <f t="shared" si="6"/>
        <v/>
      </c>
      <c r="L28" s="114" t="s">
        <v>103</v>
      </c>
      <c r="M28" s="221"/>
      <c r="N28" s="30"/>
      <c r="O28" s="30" t="s">
        <v>102</v>
      </c>
      <c r="P28" s="30"/>
      <c r="Q28" s="95">
        <f>IF(R25-M27&gt;=0,R25-M27,0)</f>
        <v>0</v>
      </c>
      <c r="R28" s="30"/>
    </row>
    <row r="29" spans="1:18" x14ac:dyDescent="0.3">
      <c r="A29" s="41" t="str">
        <f>IF('PK Zusammenfassung'!A31=0,"",'PK Zusammenfassung'!A31)</f>
        <v/>
      </c>
      <c r="B29" s="40" t="str">
        <f>IF('PK AN-Brutto qA'!W32="","",'PK AN-Brutto qA'!W32-12*'PK AN-Brutto qA'!N32)</f>
        <v/>
      </c>
      <c r="C29" s="179"/>
      <c r="D29" s="40" t="str">
        <f t="shared" si="4"/>
        <v/>
      </c>
      <c r="E29" s="205" t="str">
        <f>IF(B29="","",IF($M$24=0,"",('PK AN-Brutto qA'!X32*$M$24+IF('PK AN-Brutto qA'!X32*$M$24&gt;=$M$25+$M$26,$M$26,IF('PK AN-Brutto qA'!X32*$M$24-$M$25&lt;=0,0,'PK AN-Brutto qA'!X32*$M$24-$M$25))*$M$31+IF('PK AN-Brutto qA'!X32*$M$24&gt;=$M$25+$M$26,$M$26,IF('PK AN-Brutto qA'!X32*$M$24-$M$25&lt;=0,0,'PK AN-Brutto qA'!X32*$M$24-$M$25))*$M$31*$M$32+IF('PK AN-Brutto qA'!X32*$M$24&gt;=$M$25+$M$26,$M$26,IF('PK AN-Brutto qA'!X32*$M$24-$M$25&lt;=0,0,'PK AN-Brutto qA'!X32*$M$24-$M$25))*$M$31*$M$33+IF('PK AN-Brutto qA'!X32*$M$24&gt;=$M$27,('PK AN-Brutto qA'!X32*$M$24-$M$27+$M$27/$M$24*$M$28-$M$29)*$M$16,('PK AN-Brutto qA'!X32*$M$24/$M$24*$M$28-$M$29)*$M$16)+'PK AN-Brutto qA'!X32*$M$34)/'PK AN-Brutto qA'!X32))</f>
        <v/>
      </c>
      <c r="F29" s="40" t="str">
        <f t="shared" si="5"/>
        <v/>
      </c>
      <c r="G29" s="221"/>
      <c r="H29" s="206" t="str">
        <f t="shared" si="2"/>
        <v/>
      </c>
      <c r="I29" s="53"/>
      <c r="J29" s="206" t="str">
        <f>IF(B29="","",IF(K29="nur eine Option zur Altersversorg. möglich","FEHLER",SUM(B29,C29,D29,F29,H29,I29,12*'PK AN-Brutto qA'!N32)))</f>
        <v/>
      </c>
      <c r="K29" s="207" t="str">
        <f t="shared" si="6"/>
        <v/>
      </c>
      <c r="L29" s="41" t="s">
        <v>105</v>
      </c>
      <c r="M29" s="222"/>
      <c r="N29" s="30"/>
      <c r="O29" s="209" t="s">
        <v>104</v>
      </c>
      <c r="P29" s="210"/>
      <c r="Q29" s="211" t="e">
        <f>IF(R25&gt;=M27,M27/M24*M28,R25/M24*M28)</f>
        <v>#DIV/0!</v>
      </c>
      <c r="R29" s="210"/>
    </row>
    <row r="30" spans="1:18" x14ac:dyDescent="0.3">
      <c r="A30" s="41" t="str">
        <f>IF('PK Zusammenfassung'!A32=0,"",'PK Zusammenfassung'!A32)</f>
        <v/>
      </c>
      <c r="B30" s="40" t="str">
        <f>IF('PK AN-Brutto qA'!W33="","",'PK AN-Brutto qA'!W33-12*'PK AN-Brutto qA'!N33)</f>
        <v/>
      </c>
      <c r="C30" s="179"/>
      <c r="D30" s="40" t="str">
        <f t="shared" si="4"/>
        <v/>
      </c>
      <c r="E30" s="205" t="str">
        <f>IF(B30="","",IF($M$24=0,"",('PK AN-Brutto qA'!X33*$M$24+IF('PK AN-Brutto qA'!X33*$M$24&gt;=$M$25+$M$26,$M$26,IF('PK AN-Brutto qA'!X33*$M$24-$M$25&lt;=0,0,'PK AN-Brutto qA'!X33*$M$24-$M$25))*$M$31+IF('PK AN-Brutto qA'!X33*$M$24&gt;=$M$25+$M$26,$M$26,IF('PK AN-Brutto qA'!X33*$M$24-$M$25&lt;=0,0,'PK AN-Brutto qA'!X33*$M$24-$M$25))*$M$31*$M$32+IF('PK AN-Brutto qA'!X33*$M$24&gt;=$M$25+$M$26,$M$26,IF('PK AN-Brutto qA'!X33*$M$24-$M$25&lt;=0,0,'PK AN-Brutto qA'!X33*$M$24-$M$25))*$M$31*$M$33+IF('PK AN-Brutto qA'!X33*$M$24&gt;=$M$27,('PK AN-Brutto qA'!X33*$M$24-$M$27+$M$27/$M$24*$M$28-$M$29)*$M$16,('PK AN-Brutto qA'!X33*$M$24/$M$24*$M$28-$M$29)*$M$16)+'PK AN-Brutto qA'!X33*$M$34)/'PK AN-Brutto qA'!X33))</f>
        <v/>
      </c>
      <c r="F30" s="40" t="str">
        <f t="shared" si="5"/>
        <v/>
      </c>
      <c r="G30" s="221"/>
      <c r="H30" s="206" t="str">
        <f t="shared" si="2"/>
        <v/>
      </c>
      <c r="I30" s="53"/>
      <c r="J30" s="206" t="str">
        <f>IF(B30="","",IF(K30="nur eine Option zur Altersversorg. möglich","FEHLER",SUM(B30,C30,D30,F30,H30,I30,12*'PK AN-Brutto qA'!N33)))</f>
        <v/>
      </c>
      <c r="K30" s="207" t="str">
        <f t="shared" si="6"/>
        <v/>
      </c>
      <c r="L30" s="30"/>
      <c r="M30" s="30"/>
      <c r="N30" s="30"/>
      <c r="O30" s="30" t="s">
        <v>106</v>
      </c>
      <c r="P30" s="30"/>
      <c r="Q30" s="95">
        <f>-M29</f>
        <v>0</v>
      </c>
      <c r="R30" s="30"/>
    </row>
    <row r="31" spans="1:18" x14ac:dyDescent="0.3">
      <c r="A31" s="41" t="str">
        <f>IF('PK Zusammenfassung'!A33=0,"",'PK Zusammenfassung'!A33)</f>
        <v/>
      </c>
      <c r="B31" s="40" t="str">
        <f>IF('PK AN-Brutto qA'!W34="","",'PK AN-Brutto qA'!W34-12*'PK AN-Brutto qA'!N34)</f>
        <v/>
      </c>
      <c r="C31" s="179"/>
      <c r="D31" s="40" t="str">
        <f t="shared" si="4"/>
        <v/>
      </c>
      <c r="E31" s="205" t="str">
        <f>IF(B31="","",IF($M$24=0,"",('PK AN-Brutto qA'!X34*$M$24+IF('PK AN-Brutto qA'!X34*$M$24&gt;=$M$25+$M$26,$M$26,IF('PK AN-Brutto qA'!X34*$M$24-$M$25&lt;=0,0,'PK AN-Brutto qA'!X34*$M$24-$M$25))*$M$31+IF('PK AN-Brutto qA'!X34*$M$24&gt;=$M$25+$M$26,$M$26,IF('PK AN-Brutto qA'!X34*$M$24-$M$25&lt;=0,0,'PK AN-Brutto qA'!X34*$M$24-$M$25))*$M$31*$M$32+IF('PK AN-Brutto qA'!X34*$M$24&gt;=$M$25+$M$26,$M$26,IF('PK AN-Brutto qA'!X34*$M$24-$M$25&lt;=0,0,'PK AN-Brutto qA'!X34*$M$24-$M$25))*$M$31*$M$33+IF('PK AN-Brutto qA'!X34*$M$24&gt;=$M$27,('PK AN-Brutto qA'!X34*$M$24-$M$27+$M$27/$M$24*$M$28-$M$29)*$M$16,('PK AN-Brutto qA'!X34*$M$24/$M$24*$M$28-$M$29)*$M$16)+'PK AN-Brutto qA'!X34*$M$34)/'PK AN-Brutto qA'!X34))</f>
        <v/>
      </c>
      <c r="F31" s="40" t="str">
        <f t="shared" si="5"/>
        <v/>
      </c>
      <c r="G31" s="221"/>
      <c r="H31" s="206" t="str">
        <f t="shared" si="2"/>
        <v/>
      </c>
      <c r="I31" s="53"/>
      <c r="J31" s="206" t="str">
        <f>IF(B31="","",IF(K31="nur eine Option zur Altersversorg. möglich","FEHLER",SUM(B31,C31,D31,F31,H31,I31,12*'PK AN-Brutto qA'!N34)))</f>
        <v/>
      </c>
      <c r="K31" s="207" t="str">
        <f t="shared" si="6"/>
        <v/>
      </c>
      <c r="L31" s="41" t="s">
        <v>108</v>
      </c>
      <c r="M31" s="221"/>
      <c r="N31" s="30"/>
      <c r="O31" s="30" t="s">
        <v>107</v>
      </c>
      <c r="P31" s="30"/>
      <c r="Q31" s="118" t="e">
        <f>SUM(Q28:Q30)</f>
        <v>#DIV/0!</v>
      </c>
      <c r="R31" s="212" t="e">
        <f>ROUND(Q31*M16,2)</f>
        <v>#DIV/0!</v>
      </c>
    </row>
    <row r="32" spans="1:18" x14ac:dyDescent="0.3">
      <c r="A32" s="41" t="str">
        <f>IF('PK Zusammenfassung'!A34=0,"",'PK Zusammenfassung'!A34)</f>
        <v/>
      </c>
      <c r="B32" s="40" t="str">
        <f>IF('PK AN-Brutto qA'!W35="","",'PK AN-Brutto qA'!W35-12*'PK AN-Brutto qA'!N35)</f>
        <v/>
      </c>
      <c r="C32" s="179"/>
      <c r="D32" s="40" t="str">
        <f t="shared" si="4"/>
        <v/>
      </c>
      <c r="E32" s="205" t="str">
        <f>IF(B32="","",IF($M$24=0,"",('PK AN-Brutto qA'!X35*$M$24+IF('PK AN-Brutto qA'!X35*$M$24&gt;=$M$25+$M$26,$M$26,IF('PK AN-Brutto qA'!X35*$M$24-$M$25&lt;=0,0,'PK AN-Brutto qA'!X35*$M$24-$M$25))*$M$31+IF('PK AN-Brutto qA'!X35*$M$24&gt;=$M$25+$M$26,$M$26,IF('PK AN-Brutto qA'!X35*$M$24-$M$25&lt;=0,0,'PK AN-Brutto qA'!X35*$M$24-$M$25))*$M$31*$M$32+IF('PK AN-Brutto qA'!X35*$M$24&gt;=$M$25+$M$26,$M$26,IF('PK AN-Brutto qA'!X35*$M$24-$M$25&lt;=0,0,'PK AN-Brutto qA'!X35*$M$24-$M$25))*$M$31*$M$33+IF('PK AN-Brutto qA'!X35*$M$24&gt;=$M$27,('PK AN-Brutto qA'!X35*$M$24-$M$27+$M$27/$M$24*$M$28-$M$29)*$M$16,('PK AN-Brutto qA'!X35*$M$24/$M$24*$M$28-$M$29)*$M$16)+'PK AN-Brutto qA'!X35*$M$34)/'PK AN-Brutto qA'!X35))</f>
        <v/>
      </c>
      <c r="F32" s="40" t="str">
        <f t="shared" si="5"/>
        <v/>
      </c>
      <c r="G32" s="221"/>
      <c r="H32" s="206" t="str">
        <f t="shared" si="2"/>
        <v/>
      </c>
      <c r="I32" s="53"/>
      <c r="J32" s="206" t="str">
        <f>IF(B32="","",IF(K32="nur eine Option zur Altersversorg. möglich","FEHLER",SUM(B32,C32,D32,F32,H32,I32,12*'PK AN-Brutto qA'!N35)))</f>
        <v/>
      </c>
      <c r="K32" s="207" t="str">
        <f t="shared" si="6"/>
        <v/>
      </c>
      <c r="L32" s="41" t="s">
        <v>109</v>
      </c>
      <c r="M32" s="221"/>
      <c r="N32" s="210"/>
      <c r="O32" s="30" t="s">
        <v>100</v>
      </c>
      <c r="P32" s="30"/>
      <c r="Q32" s="118">
        <f>Q27</f>
        <v>0</v>
      </c>
      <c r="R32" s="118">
        <f>Q32*M31</f>
        <v>0</v>
      </c>
    </row>
    <row r="33" spans="1:18" x14ac:dyDescent="0.3">
      <c r="A33" s="41" t="str">
        <f>IF('PK Zusammenfassung'!A35=0,"",'PK Zusammenfassung'!A35)</f>
        <v/>
      </c>
      <c r="B33" s="40" t="str">
        <f>IF('PK AN-Brutto qA'!W36="","",'PK AN-Brutto qA'!W36-12*'PK AN-Brutto qA'!N36)</f>
        <v/>
      </c>
      <c r="C33" s="179"/>
      <c r="D33" s="40" t="str">
        <f t="shared" si="4"/>
        <v/>
      </c>
      <c r="E33" s="205" t="str">
        <f>IF(B33="","",IF($M$24=0,"",('PK AN-Brutto qA'!X36*$M$24+IF('PK AN-Brutto qA'!X36*$M$24&gt;=$M$25+$M$26,$M$26,IF('PK AN-Brutto qA'!X36*$M$24-$M$25&lt;=0,0,'PK AN-Brutto qA'!X36*$M$24-$M$25))*$M$31+IF('PK AN-Brutto qA'!X36*$M$24&gt;=$M$25+$M$26,$M$26,IF('PK AN-Brutto qA'!X36*$M$24-$M$25&lt;=0,0,'PK AN-Brutto qA'!X36*$M$24-$M$25))*$M$31*$M$32+IF('PK AN-Brutto qA'!X36*$M$24&gt;=$M$25+$M$26,$M$26,IF('PK AN-Brutto qA'!X36*$M$24-$M$25&lt;=0,0,'PK AN-Brutto qA'!X36*$M$24-$M$25))*$M$31*$M$33+IF('PK AN-Brutto qA'!X36*$M$24&gt;=$M$27,('PK AN-Brutto qA'!X36*$M$24-$M$27+$M$27/$M$24*$M$28-$M$29)*$M$16,('PK AN-Brutto qA'!X36*$M$24/$M$24*$M$28-$M$29)*$M$16)+'PK AN-Brutto qA'!X36*$M$34)/'PK AN-Brutto qA'!X36))</f>
        <v/>
      </c>
      <c r="F33" s="40" t="str">
        <f t="shared" si="5"/>
        <v/>
      </c>
      <c r="G33" s="221"/>
      <c r="H33" s="206" t="str">
        <f t="shared" si="2"/>
        <v/>
      </c>
      <c r="I33" s="53"/>
      <c r="J33" s="206" t="str">
        <f>IF(B33="","",IF(K33="nur eine Option zur Altersversorg. möglich","FEHLER",SUM(B33,C33,D33,F33,H33,I33,12*'PK AN-Brutto qA'!N36)))</f>
        <v/>
      </c>
      <c r="K33" s="207" t="str">
        <f t="shared" si="6"/>
        <v/>
      </c>
      <c r="L33" s="41" t="s">
        <v>110</v>
      </c>
      <c r="M33" s="221"/>
      <c r="N33" s="30"/>
      <c r="O33" s="210"/>
      <c r="P33" s="210"/>
      <c r="Q33" s="210"/>
      <c r="R33" s="214">
        <f>R32*M32</f>
        <v>0</v>
      </c>
    </row>
    <row r="34" spans="1:18" x14ac:dyDescent="0.3">
      <c r="A34" s="41" t="str">
        <f>IF('PK Zusammenfassung'!A36=0,"",'PK Zusammenfassung'!A36)</f>
        <v/>
      </c>
      <c r="B34" s="40" t="str">
        <f>IF('PK AN-Brutto qA'!W37="","",'PK AN-Brutto qA'!W37-12*'PK AN-Brutto qA'!N37)</f>
        <v/>
      </c>
      <c r="C34" s="179"/>
      <c r="D34" s="40" t="str">
        <f t="shared" si="4"/>
        <v/>
      </c>
      <c r="E34" s="205" t="str">
        <f>IF(B34="","",IF($M$24=0,"",('PK AN-Brutto qA'!X37*$M$24+IF('PK AN-Brutto qA'!X37*$M$24&gt;=$M$25+$M$26,$M$26,IF('PK AN-Brutto qA'!X37*$M$24-$M$25&lt;=0,0,'PK AN-Brutto qA'!X37*$M$24-$M$25))*$M$31+IF('PK AN-Brutto qA'!X37*$M$24&gt;=$M$25+$M$26,$M$26,IF('PK AN-Brutto qA'!X37*$M$24-$M$25&lt;=0,0,'PK AN-Brutto qA'!X37*$M$24-$M$25))*$M$31*$M$32+IF('PK AN-Brutto qA'!X37*$M$24&gt;=$M$25+$M$26,$M$26,IF('PK AN-Brutto qA'!X37*$M$24-$M$25&lt;=0,0,'PK AN-Brutto qA'!X37*$M$24-$M$25))*$M$31*$M$33+IF('PK AN-Brutto qA'!X37*$M$24&gt;=$M$27,('PK AN-Brutto qA'!X37*$M$24-$M$27+$M$27/$M$24*$M$28-$M$29)*$M$16,('PK AN-Brutto qA'!X37*$M$24/$M$24*$M$28-$M$29)*$M$16)+'PK AN-Brutto qA'!X37*$M$34)/'PK AN-Brutto qA'!X37))</f>
        <v/>
      </c>
      <c r="F34" s="40" t="str">
        <f t="shared" si="5"/>
        <v/>
      </c>
      <c r="G34" s="221"/>
      <c r="H34" s="206" t="str">
        <f t="shared" si="2"/>
        <v/>
      </c>
      <c r="I34" s="53"/>
      <c r="J34" s="206" t="str">
        <f>IF(B34="","",IF(K34="nur eine Option zur Altersversorg. möglich","FEHLER",SUM(B34,C34,D34,F34,H34,I34,12*'PK AN-Brutto qA'!N37)))</f>
        <v/>
      </c>
      <c r="K34" s="207" t="str">
        <f t="shared" si="6"/>
        <v/>
      </c>
      <c r="L34" s="216" t="s">
        <v>111</v>
      </c>
      <c r="M34" s="223"/>
      <c r="N34" s="30"/>
      <c r="O34" s="30"/>
      <c r="P34" s="30"/>
      <c r="Q34" s="30"/>
      <c r="R34" s="118">
        <f>R32*M33</f>
        <v>0</v>
      </c>
    </row>
    <row r="35" spans="1:18" x14ac:dyDescent="0.3">
      <c r="A35" s="41" t="str">
        <f>IF('PK Zusammenfassung'!A37=0,"",'PK Zusammenfassung'!A37)</f>
        <v/>
      </c>
      <c r="B35" s="40" t="str">
        <f>IF('PK AN-Brutto qA'!W38="","",'PK AN-Brutto qA'!W38-12*'PK AN-Brutto qA'!N38)</f>
        <v/>
      </c>
      <c r="C35" s="179"/>
      <c r="D35" s="40" t="str">
        <f t="shared" si="4"/>
        <v/>
      </c>
      <c r="E35" s="205" t="str">
        <f>IF(B35="","",IF($M$24=0,"",('PK AN-Brutto qA'!X38*$M$24+IF('PK AN-Brutto qA'!X38*$M$24&gt;=$M$25+$M$26,$M$26,IF('PK AN-Brutto qA'!X38*$M$24-$M$25&lt;=0,0,'PK AN-Brutto qA'!X38*$M$24-$M$25))*$M$31+IF('PK AN-Brutto qA'!X38*$M$24&gt;=$M$25+$M$26,$M$26,IF('PK AN-Brutto qA'!X38*$M$24-$M$25&lt;=0,0,'PK AN-Brutto qA'!X38*$M$24-$M$25))*$M$31*$M$32+IF('PK AN-Brutto qA'!X38*$M$24&gt;=$M$25+$M$26,$M$26,IF('PK AN-Brutto qA'!X38*$M$24-$M$25&lt;=0,0,'PK AN-Brutto qA'!X38*$M$24-$M$25))*$M$31*$M$33+IF('PK AN-Brutto qA'!X38*$M$24&gt;=$M$27,('PK AN-Brutto qA'!X38*$M$24-$M$27+$M$27/$M$24*$M$28-$M$29)*$M$16,('PK AN-Brutto qA'!X38*$M$24/$M$24*$M$28-$M$29)*$M$16)+'PK AN-Brutto qA'!X38*$M$34)/'PK AN-Brutto qA'!X38))</f>
        <v/>
      </c>
      <c r="F35" s="40" t="str">
        <f t="shared" si="5"/>
        <v/>
      </c>
      <c r="G35" s="221"/>
      <c r="H35" s="206" t="str">
        <f t="shared" si="2"/>
        <v/>
      </c>
      <c r="I35" s="53"/>
      <c r="J35" s="206" t="str">
        <f>IF(B35="","",IF(K35="nur eine Option zur Altersversorg. möglich","FEHLER",SUM(B35,C35,D35,F35,H35,I35,12*'PK AN-Brutto qA'!N38)))</f>
        <v/>
      </c>
      <c r="K35" s="207" t="str">
        <f t="shared" si="6"/>
        <v/>
      </c>
      <c r="L35" s="1"/>
      <c r="M35" s="1"/>
      <c r="N35" s="30"/>
      <c r="O35" s="30" t="s">
        <v>112</v>
      </c>
      <c r="P35" s="30"/>
      <c r="Q35" s="30"/>
      <c r="R35" s="118">
        <f>R24*M34</f>
        <v>0</v>
      </c>
    </row>
    <row r="36" spans="1:18" x14ac:dyDescent="0.3">
      <c r="A36" s="41" t="str">
        <f>IF('PK Zusammenfassung'!A38=0,"",'PK Zusammenfassung'!A38)</f>
        <v/>
      </c>
      <c r="B36" s="40" t="str">
        <f>IF('PK AN-Brutto qA'!W39="","",'PK AN-Brutto qA'!W39-12*'PK AN-Brutto qA'!N39)</f>
        <v/>
      </c>
      <c r="C36" s="179"/>
      <c r="D36" s="40" t="str">
        <f t="shared" si="4"/>
        <v/>
      </c>
      <c r="E36" s="205" t="str">
        <f>IF(B36="","",IF($M$24=0,"",('PK AN-Brutto qA'!X39*$M$24+IF('PK AN-Brutto qA'!X39*$M$24&gt;=$M$25+$M$26,$M$26,IF('PK AN-Brutto qA'!X39*$M$24-$M$25&lt;=0,0,'PK AN-Brutto qA'!X39*$M$24-$M$25))*$M$31+IF('PK AN-Brutto qA'!X39*$M$24&gt;=$M$25+$M$26,$M$26,IF('PK AN-Brutto qA'!X39*$M$24-$M$25&lt;=0,0,'PK AN-Brutto qA'!X39*$M$24-$M$25))*$M$31*$M$32+IF('PK AN-Brutto qA'!X39*$M$24&gt;=$M$25+$M$26,$M$26,IF('PK AN-Brutto qA'!X39*$M$24-$M$25&lt;=0,0,'PK AN-Brutto qA'!X39*$M$24-$M$25))*$M$31*$M$33+IF('PK AN-Brutto qA'!X39*$M$24&gt;=$M$27,('PK AN-Brutto qA'!X39*$M$24-$M$27+$M$27/$M$24*$M$28-$M$29)*$M$16,('PK AN-Brutto qA'!X39*$M$24/$M$24*$M$28-$M$29)*$M$16)+'PK AN-Brutto qA'!X39*$M$34)/'PK AN-Brutto qA'!X39))</f>
        <v/>
      </c>
      <c r="F36" s="40" t="str">
        <f t="shared" si="5"/>
        <v/>
      </c>
      <c r="G36" s="221"/>
      <c r="H36" s="206" t="str">
        <f t="shared" si="2"/>
        <v/>
      </c>
      <c r="I36" s="53"/>
      <c r="J36" s="206" t="str">
        <f>IF(B36="","",IF(K36="nur eine Option zur Altersversorg. möglich","FEHLER",SUM(B36,C36,D36,F36,H36,I36,12*'PK AN-Brutto qA'!N39)))</f>
        <v/>
      </c>
      <c r="K36" s="207" t="str">
        <f t="shared" si="6"/>
        <v/>
      </c>
      <c r="L36" s="30"/>
      <c r="M36" s="30"/>
      <c r="N36" s="30"/>
      <c r="O36" s="30"/>
      <c r="P36" s="30"/>
      <c r="Q36" s="30"/>
      <c r="R36" s="95" t="e">
        <f>SUM(R25:R35)</f>
        <v>#DIV/0!</v>
      </c>
    </row>
    <row r="37" spans="1:18" x14ac:dyDescent="0.3">
      <c r="A37" s="41" t="str">
        <f>IF('PK Zusammenfassung'!A39=0,"",'PK Zusammenfassung'!A39)</f>
        <v>Auszubildende</v>
      </c>
      <c r="B37" s="40" t="str">
        <f>IF('PK AN-Brutto qA'!W40="","",'PK AN-Brutto qA'!W40-12*'PK AN-Brutto qA'!N40)</f>
        <v/>
      </c>
      <c r="C37" s="179"/>
      <c r="D37" s="40" t="str">
        <f t="shared" ref="D37:D38" si="7">IF(B37="","",ROUND($B37*D$4,2))</f>
        <v/>
      </c>
      <c r="E37" s="205" t="str">
        <f>IF(B37="","",IF($M$24=0,"",('PK AN-Brutto qA'!X40*$M$24+IF('PK AN-Brutto qA'!X40*$M$24&gt;=$M$25+$M$26,$M$26,IF('PK AN-Brutto qA'!X40*$M$24-$M$25&lt;=0,0,'PK AN-Brutto qA'!X40*$M$24-$M$25))*$M$31+IF('PK AN-Brutto qA'!X40*$M$24&gt;=$M$25+$M$26,$M$26,IF('PK AN-Brutto qA'!X40*$M$24-$M$25&lt;=0,0,'PK AN-Brutto qA'!X40*$M$24-$M$25))*$M$31*$M$32+IF('PK AN-Brutto qA'!X40*$M$24&gt;=$M$25+$M$26,$M$26,IF('PK AN-Brutto qA'!X40*$M$24-$M$25&lt;=0,0,'PK AN-Brutto qA'!X40*$M$24-$M$25))*$M$31*$M$33+IF('PK AN-Brutto qA'!X40*$M$24&gt;=$M$27,('PK AN-Brutto qA'!X40*$M$24-$M$27+$M$27/$M$24*$M$28-$M$29)*$M$16,('PK AN-Brutto qA'!X40*$M$24/$M$24*$M$28-$M$29)*$M$16)+'PK AN-Brutto qA'!X40*$M$34)/'PK AN-Brutto qA'!X40))</f>
        <v/>
      </c>
      <c r="F37" s="40" t="str">
        <f t="shared" ref="F37:F38" si="8">IF(E37="","",ROUND(B37*E37,2))</f>
        <v/>
      </c>
      <c r="G37" s="221"/>
      <c r="H37" s="206" t="str">
        <f t="shared" si="2"/>
        <v/>
      </c>
      <c r="I37" s="53"/>
      <c r="J37" s="206" t="str">
        <f>IF(B37="","",IF(K37="nur eine Option zur Altersversorg. möglich","FEHLER",SUM(B37,C37,D37,F37,H37,I37,12*'PK AN-Brutto qA'!N40)))</f>
        <v/>
      </c>
      <c r="K37" s="207" t="str">
        <f t="shared" si="6"/>
        <v/>
      </c>
      <c r="L37" s="30"/>
      <c r="M37" s="30"/>
      <c r="N37" s="30"/>
      <c r="O37" s="30"/>
      <c r="P37" s="30"/>
      <c r="Q37" s="30"/>
      <c r="R37" s="95"/>
    </row>
    <row r="38" spans="1:18" ht="15" thickBot="1" x14ac:dyDescent="0.35">
      <c r="A38" s="41" t="str">
        <f>IF('PK Zusammenfassung'!A40=0,"",'PK Zusammenfassung'!A40)</f>
        <v>Studierende</v>
      </c>
      <c r="B38" s="40" t="str">
        <f>IF('PK AN-Brutto qA'!W41="","",'PK AN-Brutto qA'!W41-12*'PK AN-Brutto qA'!N41)</f>
        <v/>
      </c>
      <c r="C38" s="179"/>
      <c r="D38" s="40" t="str">
        <f t="shared" si="7"/>
        <v/>
      </c>
      <c r="E38" s="205" t="str">
        <f>IF(B38="","",IF($M$24=0,"",('PK AN-Brutto qA'!X41*$M$24+IF('PK AN-Brutto qA'!X41*$M$24&gt;=$M$25+$M$26,$M$26,IF('PK AN-Brutto qA'!X41*$M$24-$M$25&lt;=0,0,'PK AN-Brutto qA'!X41*$M$24-$M$25))*$M$31+IF('PK AN-Brutto qA'!X41*$M$24&gt;=$M$25+$M$26,$M$26,IF('PK AN-Brutto qA'!X41*$M$24-$M$25&lt;=0,0,'PK AN-Brutto qA'!X41*$M$24-$M$25))*$M$31*$M$32+IF('PK AN-Brutto qA'!X41*$M$24&gt;=$M$25+$M$26,$M$26,IF('PK AN-Brutto qA'!X41*$M$24-$M$25&lt;=0,0,'PK AN-Brutto qA'!X41*$M$24-$M$25))*$M$31*$M$33+IF('PK AN-Brutto qA'!X41*$M$24&gt;=$M$27,('PK AN-Brutto qA'!X41*$M$24-$M$27+$M$27/$M$24*$M$28-$M$29)*$M$16,('PK AN-Brutto qA'!X41*$M$24/$M$24*$M$28-$M$29)*$M$16)+'PK AN-Brutto qA'!X41*$M$34)/'PK AN-Brutto qA'!X41))</f>
        <v/>
      </c>
      <c r="F38" s="40" t="str">
        <f t="shared" si="8"/>
        <v/>
      </c>
      <c r="G38" s="221"/>
      <c r="H38" s="206" t="str">
        <f t="shared" si="2"/>
        <v/>
      </c>
      <c r="I38" s="53"/>
      <c r="J38" s="206" t="str">
        <f>IF(B38="","",IF(K38="nur eine Option zur Altersversorg. möglich","FEHLER",SUM(B38,C38,D38,F38,H38,I38,12*'PK AN-Brutto qA'!N41)))</f>
        <v/>
      </c>
      <c r="K38" s="207" t="str">
        <f t="shared" si="6"/>
        <v/>
      </c>
      <c r="L38" s="30"/>
      <c r="M38" s="30"/>
      <c r="N38" s="30"/>
      <c r="O38" s="30"/>
      <c r="P38" s="30"/>
      <c r="Q38" s="30"/>
      <c r="R38" s="95"/>
    </row>
    <row r="39" spans="1:18" ht="15" thickBot="1" x14ac:dyDescent="0.35">
      <c r="A39" s="41" t="str">
        <f>IF('PK Zusammenfassung'!A41=0,"",'PK Zusammenfassung'!A41)</f>
        <v>Praktikant:innen</v>
      </c>
      <c r="B39" s="40" t="str">
        <f>IF('PK AN-Brutto qA'!W42="","",'PK AN-Brutto qA'!W42-12*'PK AN-Brutto qA'!N42)</f>
        <v/>
      </c>
      <c r="C39" s="179"/>
      <c r="D39" s="179"/>
      <c r="E39" s="205" t="str">
        <f>IF(B39="","",IF($M$24=0,"",('PK AN-Brutto qA'!X42*$M$24+IF('PK AN-Brutto qA'!X42*$M$24&gt;=$M$25+$M$26,$M$26,IF('PK AN-Brutto qA'!X42*$M$24-$M$25&lt;=0,0,'PK AN-Brutto qA'!X42*$M$24-$M$25))*$M$31+IF('PK AN-Brutto qA'!X42*$M$24&gt;=$M$25+$M$26,$M$26,IF('PK AN-Brutto qA'!X42*$M$24-$M$25&lt;=0,0,'PK AN-Brutto qA'!X42*$M$24-$M$25))*$M$31*$M$32+IF('PK AN-Brutto qA'!X42*$M$24&gt;=$M$25+$M$26,$M$26,IF('PK AN-Brutto qA'!X42*$M$24-$M$25&lt;=0,0,'PK AN-Brutto qA'!X42*$M$24-$M$25))*$M$31*$M$33+IF('PK AN-Brutto qA'!X42*$M$24&gt;=$M$27,('PK AN-Brutto qA'!X42*$M$24-$M$27+$M$27/$M$24*$M$28-$M$29)*$M$16,('PK AN-Brutto qA'!X42*$M$24/$M$24*$M$28-$M$29)*$M$16)+'PK AN-Brutto qA'!X42*$M$34)/'PK AN-Brutto qA'!X42))</f>
        <v/>
      </c>
      <c r="F39" s="40" t="str">
        <f t="shared" si="1"/>
        <v/>
      </c>
      <c r="G39" s="221"/>
      <c r="H39" s="206" t="str">
        <f t="shared" si="2"/>
        <v/>
      </c>
      <c r="I39" s="53"/>
      <c r="J39" s="206" t="str">
        <f>IF(B39="","",IF(K39="nur eine Option zur Altersversorg. möglich","FEHLER",SUM(B39,C39,D39,F39,H39,I39,12*'PK AN-Brutto qA'!N42)))</f>
        <v/>
      </c>
      <c r="K39" s="207" t="str">
        <f t="shared" si="6"/>
        <v/>
      </c>
      <c r="L39" s="30"/>
      <c r="M39" s="30"/>
      <c r="N39" s="30"/>
      <c r="O39" s="30"/>
      <c r="P39" s="30"/>
      <c r="Q39" s="30"/>
      <c r="R39" s="217" t="str">
        <f>IF(R24="","",ROUND(R36/R24,4))</f>
        <v/>
      </c>
    </row>
    <row r="40" spans="1:18" x14ac:dyDescent="0.3">
      <c r="A40" s="41" t="str">
        <f>IF('PK Zusammenfassung'!A42=0,"",'PK Zusammenfassung'!A42)</f>
        <v>MiniJob</v>
      </c>
      <c r="B40" s="40" t="str">
        <f>'PK AN-Brutto qA'!W43</f>
        <v/>
      </c>
      <c r="C40" s="40" t="str">
        <f>IF(B40="","",B40*$C$4)</f>
        <v/>
      </c>
      <c r="D40" s="179"/>
      <c r="E40" s="179"/>
      <c r="F40" s="179"/>
      <c r="G40" s="179"/>
      <c r="H40" s="179"/>
      <c r="I40" s="179"/>
      <c r="J40" s="206" t="str">
        <f>IF(B40="","",IF(K40="nur eine Option zur Altersversorg. möglich","FEHLER",SUM(B40,C40,D40,F40,H40,I40,12*'PK AN-Brutto qA'!N43)))</f>
        <v/>
      </c>
      <c r="K40" s="207" t="str">
        <f t="shared" si="6"/>
        <v/>
      </c>
    </row>
    <row r="41" spans="1:18" x14ac:dyDescent="0.3">
      <c r="A41" s="30"/>
      <c r="B41" s="213"/>
      <c r="C41" s="213"/>
      <c r="D41" s="35"/>
      <c r="E41" s="35"/>
      <c r="F41" s="35"/>
      <c r="G41" s="35"/>
      <c r="H41" s="35"/>
      <c r="I41" s="35"/>
      <c r="J41" s="35"/>
      <c r="K41" s="210"/>
    </row>
    <row r="42" spans="1:18" x14ac:dyDescent="0.3">
      <c r="A42" s="37" t="s">
        <v>40</v>
      </c>
      <c r="B42" s="215"/>
      <c r="C42" s="35"/>
      <c r="D42" s="35"/>
      <c r="E42" s="35"/>
      <c r="F42" s="35"/>
      <c r="G42" s="35"/>
      <c r="H42" s="35"/>
      <c r="I42" s="35"/>
      <c r="J42" s="215"/>
      <c r="K42" s="30"/>
    </row>
    <row r="43" spans="1:18" x14ac:dyDescent="0.3">
      <c r="A43" s="41" t="str">
        <f>IF('PK AN-Brutto kA'!A10=0,"",'PK AN-Brutto kA'!A10)</f>
        <v/>
      </c>
      <c r="B43" s="40" t="str">
        <f>IF('PK AN-Brutto kA'!V10="","",'PK AN-Brutto kA'!V10-12*'PK AN-Brutto kA'!M10)</f>
        <v/>
      </c>
      <c r="C43" s="179"/>
      <c r="D43" s="40" t="str">
        <f t="shared" ref="D43" si="9">IF(B43="","",ROUND($B43*D$4,2))</f>
        <v/>
      </c>
      <c r="E43" s="205" t="str">
        <f>IF(B43="","",IF($M$24=0,"",('PK AN-Brutto kA'!W10*$M$24+IF('PK AN-Brutto kA'!W10*$M$24&gt;=$M$25+$M$26,$M$26,IF('PK AN-Brutto kA'!W10*$M$24-$M$25&lt;=0,0,'PK AN-Brutto kA'!W10*$M$24-$M$25))*$M$31+IF('PK AN-Brutto kA'!W10*$M$24&gt;=$M$25+$M$26,$M$26,IF('PK AN-Brutto kA'!W10*$M$24-$M$25&lt;=0,0,'PK AN-Brutto kA'!W10*$M$24-$M$25))*$M$31*$M$32+IF('PK AN-Brutto kA'!W10*$M$24&gt;=$M$25+$M$26,$M$26,IF('PK AN-Brutto kA'!W10*$M$24-$M$25&lt;=0,0,'PK AN-Brutto kA'!W10*$M$24-$M$25))*$M$31*$M$33+IF('PK AN-Brutto kA'!W10*$M$24&gt;=$M$27,('PK AN-Brutto kA'!W10*$M$24-$M$27+$M$27/$M$24*$M$28-$M$29)*$M$16,('PK AN-Brutto kA'!W10*$M$24/$M$24*$M$28-$M$29)*$M$16)+'PK AN-Brutto kA'!W10*$M$34)/'PK AN-Brutto kA'!W10))</f>
        <v/>
      </c>
      <c r="F43" s="40" t="str">
        <f t="shared" ref="F43:F69" si="10">IF(E43="","",ROUND(B43*E43,2))</f>
        <v/>
      </c>
      <c r="G43" s="301"/>
      <c r="H43" s="206" t="str">
        <f t="shared" ref="H43:H69" si="11">IF(G43&gt;0,ROUND(B43*G43,2),"")</f>
        <v/>
      </c>
      <c r="I43" s="302"/>
      <c r="J43" s="206" t="str">
        <f>IF(B43="","",IF(K43="nur eine Option zur Altersversorg. möglich","FEHLER",SUM(B43,C43,D43,F43,H43,I43,12*'PK AN-Brutto kA'!M10)))</f>
        <v/>
      </c>
      <c r="K43" s="207" t="str">
        <f t="shared" ref="K43:K77" si="12">IF(COUNT(F43,G43,I43)&gt;1,"nur eine Option zur Altersversorg. möglich","")</f>
        <v/>
      </c>
    </row>
    <row r="44" spans="1:18" x14ac:dyDescent="0.3">
      <c r="A44" s="41" t="str">
        <f>IF('PK AN-Brutto kA'!A11=0,"",'PK AN-Brutto kA'!A11)</f>
        <v/>
      </c>
      <c r="B44" s="40" t="str">
        <f>IF('PK AN-Brutto kA'!V11="","",'PK AN-Brutto kA'!V11-12*'PK AN-Brutto kA'!M11)</f>
        <v/>
      </c>
      <c r="C44" s="179"/>
      <c r="D44" s="40" t="str">
        <f t="shared" ref="D44:D46" si="13">IF(B44="","",ROUND($B44*D$4,2))</f>
        <v/>
      </c>
      <c r="E44" s="205" t="str">
        <f>IF(B44="","",IF($M$24=0,"",('PK AN-Brutto kA'!W11*$M$24+IF('PK AN-Brutto kA'!W11*$M$24&gt;=$M$25+$M$26,$M$26,IF('PK AN-Brutto kA'!W11*$M$24-$M$25&lt;=0,0,'PK AN-Brutto kA'!W11*$M$24-$M$25))*$M$31+IF('PK AN-Brutto kA'!W11*$M$24&gt;=$M$25+$M$26,$M$26,IF('PK AN-Brutto kA'!W11*$M$24-$M$25&lt;=0,0,'PK AN-Brutto kA'!W11*$M$24-$M$25))*$M$31*$M$32+IF('PK AN-Brutto kA'!W11*$M$24&gt;=$M$25+$M$26,$M$26,IF('PK AN-Brutto kA'!W11*$M$24-$M$25&lt;=0,0,'PK AN-Brutto kA'!W11*$M$24-$M$25))*$M$31*$M$33+IF('PK AN-Brutto kA'!W11*$M$24&gt;=$M$27,('PK AN-Brutto kA'!W11*$M$24-$M$27+$M$27/$M$24*$M$28-$M$29)*$M$16,('PK AN-Brutto kA'!W11*$M$24/$M$24*$M$28-$M$29)*$M$16)+'PK AN-Brutto kA'!W11*$M$34)/'PK AN-Brutto kA'!W11))</f>
        <v/>
      </c>
      <c r="F44" s="40" t="str">
        <f t="shared" si="10"/>
        <v/>
      </c>
      <c r="G44" s="301"/>
      <c r="H44" s="206" t="str">
        <f t="shared" si="11"/>
        <v/>
      </c>
      <c r="I44" s="302"/>
      <c r="J44" s="206" t="str">
        <f>IF(B44="","",IF(K44="nur eine Option zur Altersversorg. möglich","FEHLER",SUM(B44,C44,D44,F44,H44,I44,12*'PK AN-Brutto kA'!M11)))</f>
        <v/>
      </c>
      <c r="K44" s="207" t="str">
        <f t="shared" si="12"/>
        <v/>
      </c>
    </row>
    <row r="45" spans="1:18" x14ac:dyDescent="0.3">
      <c r="A45" s="41" t="str">
        <f>IF('PK AN-Brutto kA'!A12=0,"",'PK AN-Brutto kA'!A12)</f>
        <v/>
      </c>
      <c r="B45" s="40" t="str">
        <f>IF('PK AN-Brutto kA'!V12="","",'PK AN-Brutto kA'!V12-12*'PK AN-Brutto kA'!M12)</f>
        <v/>
      </c>
      <c r="C45" s="179"/>
      <c r="D45" s="40" t="str">
        <f t="shared" si="13"/>
        <v/>
      </c>
      <c r="E45" s="205" t="str">
        <f>IF(B45="","",IF($M$24=0,"",('PK AN-Brutto kA'!W12*$M$24+IF('PK AN-Brutto kA'!W12*$M$24&gt;=$M$25+$M$26,$M$26,IF('PK AN-Brutto kA'!W12*$M$24-$M$25&lt;=0,0,'PK AN-Brutto kA'!W12*$M$24-$M$25))*$M$31+IF('PK AN-Brutto kA'!W12*$M$24&gt;=$M$25+$M$26,$M$26,IF('PK AN-Brutto kA'!W12*$M$24-$M$25&lt;=0,0,'PK AN-Brutto kA'!W12*$M$24-$M$25))*$M$31*$M$32+IF('PK AN-Brutto kA'!W12*$M$24&gt;=$M$25+$M$26,$M$26,IF('PK AN-Brutto kA'!W12*$M$24-$M$25&lt;=0,0,'PK AN-Brutto kA'!W12*$M$24-$M$25))*$M$31*$M$33+IF('PK AN-Brutto kA'!W12*$M$24&gt;=$M$27,('PK AN-Brutto kA'!W12*$M$24-$M$27+$M$27/$M$24*$M$28-$M$29)*$M$16,('PK AN-Brutto kA'!W12*$M$24/$M$24*$M$28-$M$29)*$M$16)+'PK AN-Brutto kA'!W12*$M$34)/'PK AN-Brutto kA'!W12))</f>
        <v/>
      </c>
      <c r="F45" s="40" t="str">
        <f t="shared" si="10"/>
        <v/>
      </c>
      <c r="G45" s="301"/>
      <c r="H45" s="206" t="str">
        <f t="shared" si="11"/>
        <v/>
      </c>
      <c r="I45" s="302"/>
      <c r="J45" s="206" t="str">
        <f>IF(B45="","",IF(K45="nur eine Option zur Altersversorg. möglich","FEHLER",SUM(B45,C45,D45,F45,H45,I45,12*'PK AN-Brutto kA'!M12)))</f>
        <v/>
      </c>
      <c r="K45" s="207" t="str">
        <f t="shared" si="12"/>
        <v/>
      </c>
    </row>
    <row r="46" spans="1:18" x14ac:dyDescent="0.3">
      <c r="A46" s="41" t="str">
        <f>IF('PK AN-Brutto kA'!A13=0,"",'PK AN-Brutto kA'!A13)</f>
        <v/>
      </c>
      <c r="B46" s="40" t="str">
        <f>IF('PK AN-Brutto kA'!V13="","",'PK AN-Brutto kA'!V13-12*'PK AN-Brutto kA'!M13)</f>
        <v/>
      </c>
      <c r="C46" s="179"/>
      <c r="D46" s="40" t="str">
        <f t="shared" si="13"/>
        <v/>
      </c>
      <c r="E46" s="205" t="str">
        <f>IF(B46="","",IF($M$24=0,"",('PK AN-Brutto kA'!W13*$M$24+IF('PK AN-Brutto kA'!W13*$M$24&gt;=$M$25+$M$26,$M$26,IF('PK AN-Brutto kA'!W13*$M$24-$M$25&lt;=0,0,'PK AN-Brutto kA'!W13*$M$24-$M$25))*$M$31+IF('PK AN-Brutto kA'!W13*$M$24&gt;=$M$25+$M$26,$M$26,IF('PK AN-Brutto kA'!W13*$M$24-$M$25&lt;=0,0,'PK AN-Brutto kA'!W13*$M$24-$M$25))*$M$31*$M$32+IF('PK AN-Brutto kA'!W13*$M$24&gt;=$M$25+$M$26,$M$26,IF('PK AN-Brutto kA'!W13*$M$24-$M$25&lt;=0,0,'PK AN-Brutto kA'!W13*$M$24-$M$25))*$M$31*$M$33+IF('PK AN-Brutto kA'!W13*$M$24&gt;=$M$27,('PK AN-Brutto kA'!W13*$M$24-$M$27+$M$27/$M$24*$M$28-$M$29)*$M$16,('PK AN-Brutto kA'!W13*$M$24/$M$24*$M$28-$M$29)*$M$16)+'PK AN-Brutto kA'!W13*$M$34)/'PK AN-Brutto kA'!W13))</f>
        <v/>
      </c>
      <c r="F46" s="40" t="str">
        <f t="shared" si="10"/>
        <v/>
      </c>
      <c r="G46" s="301"/>
      <c r="H46" s="206" t="str">
        <f t="shared" si="11"/>
        <v/>
      </c>
      <c r="I46" s="302"/>
      <c r="J46" s="206" t="str">
        <f>IF(B46="","",IF(K46="nur eine Option zur Altersversorg. möglich","FEHLER",SUM(B46,C46,D46,F46,H46,I46,12*'PK AN-Brutto kA'!M13)))</f>
        <v/>
      </c>
      <c r="K46" s="207" t="str">
        <f t="shared" si="12"/>
        <v/>
      </c>
    </row>
    <row r="47" spans="1:18" x14ac:dyDescent="0.3">
      <c r="A47" s="41" t="str">
        <f>IF('PK AN-Brutto kA'!A14=0,"",'PK AN-Brutto kA'!A14)</f>
        <v/>
      </c>
      <c r="B47" s="40" t="str">
        <f>IF('PK AN-Brutto kA'!V14="","",'PK AN-Brutto kA'!V14-12*'PK AN-Brutto kA'!M14)</f>
        <v/>
      </c>
      <c r="C47" s="179"/>
      <c r="D47" s="40" t="str">
        <f t="shared" ref="D47:D71" si="14">IF(B47="","",ROUND($B47*D$4,2))</f>
        <v/>
      </c>
      <c r="E47" s="205" t="str">
        <f>IF(B47="","",IF($M$24=0,"",('PK AN-Brutto kA'!W14*$M$24+IF('PK AN-Brutto kA'!W14*$M$24&gt;=$M$25+$M$26,$M$26,IF('PK AN-Brutto kA'!W14*$M$24-$M$25&lt;=0,0,'PK AN-Brutto kA'!W14*$M$24-$M$25))*$M$31+IF('PK AN-Brutto kA'!W14*$M$24&gt;=$M$25+$M$26,$M$26,IF('PK AN-Brutto kA'!W14*$M$24-$M$25&lt;=0,0,'PK AN-Brutto kA'!W14*$M$24-$M$25))*$M$31*$M$32+IF('PK AN-Brutto kA'!W14*$M$24&gt;=$M$25+$M$26,$M$26,IF('PK AN-Brutto kA'!W14*$M$24-$M$25&lt;=0,0,'PK AN-Brutto kA'!W14*$M$24-$M$25))*$M$31*$M$33+IF('PK AN-Brutto kA'!W14*$M$24&gt;=$M$27,('PK AN-Brutto kA'!W14*$M$24-$M$27+$M$27/$M$24*$M$28-$M$29)*$M$16,('PK AN-Brutto kA'!W14*$M$24/$M$24*$M$28-$M$29)*$M$16)+'PK AN-Brutto kA'!W14*$M$34)/'PK AN-Brutto kA'!W14))</f>
        <v/>
      </c>
      <c r="F47" s="40" t="str">
        <f t="shared" si="10"/>
        <v/>
      </c>
      <c r="G47" s="301"/>
      <c r="H47" s="206" t="str">
        <f t="shared" si="11"/>
        <v/>
      </c>
      <c r="I47" s="302"/>
      <c r="J47" s="206" t="str">
        <f>IF(B47="","",IF(K47="nur eine Option zur Altersversorg. möglich","FEHLER",SUM(B47,C47,D47,F47,H47,I47,12*'PK AN-Brutto kA'!M14)))</f>
        <v/>
      </c>
      <c r="K47" s="207" t="str">
        <f t="shared" si="12"/>
        <v/>
      </c>
    </row>
    <row r="48" spans="1:18" x14ac:dyDescent="0.3">
      <c r="A48" s="41" t="str">
        <f>IF('PK AN-Brutto kA'!A15=0,"",'PK AN-Brutto kA'!A15)</f>
        <v/>
      </c>
      <c r="B48" s="40" t="str">
        <f>IF('PK AN-Brutto kA'!V15="","",'PK AN-Brutto kA'!V15-12*'PK AN-Brutto kA'!M15)</f>
        <v/>
      </c>
      <c r="C48" s="179"/>
      <c r="D48" s="40" t="str">
        <f t="shared" si="14"/>
        <v/>
      </c>
      <c r="E48" s="205" t="str">
        <f>IF(B48="","",IF($M$24=0,"",('PK AN-Brutto kA'!W15*$M$24+IF('PK AN-Brutto kA'!W15*$M$24&gt;=$M$25+$M$26,$M$26,IF('PK AN-Brutto kA'!W15*$M$24-$M$25&lt;=0,0,'PK AN-Brutto kA'!W15*$M$24-$M$25))*$M$31+IF('PK AN-Brutto kA'!W15*$M$24&gt;=$M$25+$M$26,$M$26,IF('PK AN-Brutto kA'!W15*$M$24-$M$25&lt;=0,0,'PK AN-Brutto kA'!W15*$M$24-$M$25))*$M$31*$M$32+IF('PK AN-Brutto kA'!W15*$M$24&gt;=$M$25+$M$26,$M$26,IF('PK AN-Brutto kA'!W15*$M$24-$M$25&lt;=0,0,'PK AN-Brutto kA'!W15*$M$24-$M$25))*$M$31*$M$33+IF('PK AN-Brutto kA'!W15*$M$24&gt;=$M$27,('PK AN-Brutto kA'!W15*$M$24-$M$27+$M$27/$M$24*$M$28-$M$29)*$M$16,('PK AN-Brutto kA'!W15*$M$24/$M$24*$M$28-$M$29)*$M$16)+'PK AN-Brutto kA'!W15*$M$34)/'PK AN-Brutto kA'!W15))</f>
        <v/>
      </c>
      <c r="F48" s="40" t="str">
        <f t="shared" si="10"/>
        <v/>
      </c>
      <c r="G48" s="301"/>
      <c r="H48" s="206" t="str">
        <f t="shared" si="11"/>
        <v/>
      </c>
      <c r="I48" s="302"/>
      <c r="J48" s="206" t="str">
        <f>IF(B48="","",IF(K48="nur eine Option zur Altersversorg. möglich","FEHLER",SUM(B48,C48,D48,F48,H48,I48,12*'PK AN-Brutto kA'!M15)))</f>
        <v/>
      </c>
      <c r="K48" s="207" t="str">
        <f t="shared" si="12"/>
        <v/>
      </c>
    </row>
    <row r="49" spans="1:11" x14ac:dyDescent="0.3">
      <c r="A49" s="41" t="str">
        <f>IF('PK AN-Brutto kA'!A16=0,"",'PK AN-Brutto kA'!A16)</f>
        <v/>
      </c>
      <c r="B49" s="40" t="str">
        <f>IF('PK AN-Brutto kA'!V16="","",'PK AN-Brutto kA'!V16-12*'PK AN-Brutto kA'!M16)</f>
        <v/>
      </c>
      <c r="C49" s="179"/>
      <c r="D49" s="40" t="str">
        <f t="shared" si="14"/>
        <v/>
      </c>
      <c r="E49" s="205" t="str">
        <f>IF(B49="","",IF($M$24=0,"",('PK AN-Brutto kA'!W16*$M$24+IF('PK AN-Brutto kA'!W16*$M$24&gt;=$M$25+$M$26,$M$26,IF('PK AN-Brutto kA'!W16*$M$24-$M$25&lt;=0,0,'PK AN-Brutto kA'!W16*$M$24-$M$25))*$M$31+IF('PK AN-Brutto kA'!W16*$M$24&gt;=$M$25+$M$26,$M$26,IF('PK AN-Brutto kA'!W16*$M$24-$M$25&lt;=0,0,'PK AN-Brutto kA'!W16*$M$24-$M$25))*$M$31*$M$32+IF('PK AN-Brutto kA'!W16*$M$24&gt;=$M$25+$M$26,$M$26,IF('PK AN-Brutto kA'!W16*$M$24-$M$25&lt;=0,0,'PK AN-Brutto kA'!W16*$M$24-$M$25))*$M$31*$M$33+IF('PK AN-Brutto kA'!W16*$M$24&gt;=$M$27,('PK AN-Brutto kA'!W16*$M$24-$M$27+$M$27/$M$24*$M$28-$M$29)*$M$16,('PK AN-Brutto kA'!W16*$M$24/$M$24*$M$28-$M$29)*$M$16)+'PK AN-Brutto kA'!W16*$M$34)/'PK AN-Brutto kA'!W16))</f>
        <v/>
      </c>
      <c r="F49" s="40" t="str">
        <f t="shared" si="10"/>
        <v/>
      </c>
      <c r="G49" s="301"/>
      <c r="H49" s="206" t="str">
        <f t="shared" si="11"/>
        <v/>
      </c>
      <c r="I49" s="302"/>
      <c r="J49" s="206" t="str">
        <f>IF(B49="","",IF(K49="nur eine Option zur Altersversorg. möglich","FEHLER",SUM(B49,C49,D49,F49,H49,I49,12*'PK AN-Brutto kA'!M16)))</f>
        <v/>
      </c>
      <c r="K49" s="207" t="str">
        <f t="shared" si="12"/>
        <v/>
      </c>
    </row>
    <row r="50" spans="1:11" x14ac:dyDescent="0.3">
      <c r="A50" s="41" t="str">
        <f>IF('PK AN-Brutto kA'!A17=0,"",'PK AN-Brutto kA'!A17)</f>
        <v/>
      </c>
      <c r="B50" s="40" t="str">
        <f>IF('PK AN-Brutto kA'!V17="","",'PK AN-Brutto kA'!V17-12*'PK AN-Brutto kA'!M17)</f>
        <v/>
      </c>
      <c r="C50" s="179"/>
      <c r="D50" s="40" t="str">
        <f t="shared" si="14"/>
        <v/>
      </c>
      <c r="E50" s="205" t="str">
        <f>IF(B50="","",IF($M$24=0,"",('PK AN-Brutto kA'!W17*$M$24+IF('PK AN-Brutto kA'!W17*$M$24&gt;=$M$25+$M$26,$M$26,IF('PK AN-Brutto kA'!W17*$M$24-$M$25&lt;=0,0,'PK AN-Brutto kA'!W17*$M$24-$M$25))*$M$31+IF('PK AN-Brutto kA'!W17*$M$24&gt;=$M$25+$M$26,$M$26,IF('PK AN-Brutto kA'!W17*$M$24-$M$25&lt;=0,0,'PK AN-Brutto kA'!W17*$M$24-$M$25))*$M$31*$M$32+IF('PK AN-Brutto kA'!W17*$M$24&gt;=$M$25+$M$26,$M$26,IF('PK AN-Brutto kA'!W17*$M$24-$M$25&lt;=0,0,'PK AN-Brutto kA'!W17*$M$24-$M$25))*$M$31*$M$33+IF('PK AN-Brutto kA'!W17*$M$24&gt;=$M$27,('PK AN-Brutto kA'!W17*$M$24-$M$27+$M$27/$M$24*$M$28-$M$29)*$M$16,('PK AN-Brutto kA'!W17*$M$24/$M$24*$M$28-$M$29)*$M$16)+'PK AN-Brutto kA'!W17*$M$34)/'PK AN-Brutto kA'!W17))</f>
        <v/>
      </c>
      <c r="F50" s="40" t="str">
        <f t="shared" si="10"/>
        <v/>
      </c>
      <c r="G50" s="301"/>
      <c r="H50" s="206" t="str">
        <f t="shared" si="11"/>
        <v/>
      </c>
      <c r="I50" s="302"/>
      <c r="J50" s="206" t="str">
        <f>IF(B50="","",IF(K50="nur eine Option zur Altersversorg. möglich","FEHLER",SUM(B50,C50,D50,F50,H50,I50,12*'PK AN-Brutto kA'!M17)))</f>
        <v/>
      </c>
      <c r="K50" s="207" t="str">
        <f t="shared" si="12"/>
        <v/>
      </c>
    </row>
    <row r="51" spans="1:11" x14ac:dyDescent="0.3">
      <c r="A51" s="41" t="str">
        <f>IF('PK AN-Brutto kA'!A18=0,"",'PK AN-Brutto kA'!A18)</f>
        <v/>
      </c>
      <c r="B51" s="40" t="str">
        <f>IF('PK AN-Brutto kA'!V18="","",'PK AN-Brutto kA'!V18-12*'PK AN-Brutto kA'!M18)</f>
        <v/>
      </c>
      <c r="C51" s="179"/>
      <c r="D51" s="40" t="str">
        <f t="shared" si="14"/>
        <v/>
      </c>
      <c r="E51" s="205" t="str">
        <f>IF(B51="","",IF($M$24=0,"",('PK AN-Brutto kA'!W18*$M$24+IF('PK AN-Brutto kA'!W18*$M$24&gt;=$M$25+$M$26,$M$26,IF('PK AN-Brutto kA'!W18*$M$24-$M$25&lt;=0,0,'PK AN-Brutto kA'!W18*$M$24-$M$25))*$M$31+IF('PK AN-Brutto kA'!W18*$M$24&gt;=$M$25+$M$26,$M$26,IF('PK AN-Brutto kA'!W18*$M$24-$M$25&lt;=0,0,'PK AN-Brutto kA'!W18*$M$24-$M$25))*$M$31*$M$32+IF('PK AN-Brutto kA'!W18*$M$24&gt;=$M$25+$M$26,$M$26,IF('PK AN-Brutto kA'!W18*$M$24-$M$25&lt;=0,0,'PK AN-Brutto kA'!W18*$M$24-$M$25))*$M$31*$M$33+IF('PK AN-Brutto kA'!W18*$M$24&gt;=$M$27,('PK AN-Brutto kA'!W18*$M$24-$M$27+$M$27/$M$24*$M$28-$M$29)*$M$16,('PK AN-Brutto kA'!W18*$M$24/$M$24*$M$28-$M$29)*$M$16)+'PK AN-Brutto kA'!W18*$M$34)/'PK AN-Brutto kA'!W18))</f>
        <v/>
      </c>
      <c r="F51" s="40" t="str">
        <f t="shared" si="10"/>
        <v/>
      </c>
      <c r="G51" s="301"/>
      <c r="H51" s="206" t="str">
        <f t="shared" si="11"/>
        <v/>
      </c>
      <c r="I51" s="302"/>
      <c r="J51" s="206" t="str">
        <f>IF(B51="","",IF(K51="nur eine Option zur Altersversorg. möglich","FEHLER",SUM(B51,C51,D51,F51,H51,I51,12*'PK AN-Brutto kA'!M18)))</f>
        <v/>
      </c>
      <c r="K51" s="207" t="str">
        <f t="shared" si="12"/>
        <v/>
      </c>
    </row>
    <row r="52" spans="1:11" x14ac:dyDescent="0.3">
      <c r="A52" s="41" t="str">
        <f>IF('PK AN-Brutto kA'!A19=0,"",'PK AN-Brutto kA'!A19)</f>
        <v/>
      </c>
      <c r="B52" s="40" t="str">
        <f>IF('PK AN-Brutto kA'!V19="","",'PK AN-Brutto kA'!V19-12*'PK AN-Brutto kA'!M19)</f>
        <v/>
      </c>
      <c r="C52" s="179"/>
      <c r="D52" s="40" t="str">
        <f t="shared" si="14"/>
        <v/>
      </c>
      <c r="E52" s="205" t="str">
        <f>IF(B52="","",IF($M$24=0,"",('PK AN-Brutto kA'!W19*$M$24+IF('PK AN-Brutto kA'!W19*$M$24&gt;=$M$25+$M$26,$M$26,IF('PK AN-Brutto kA'!W19*$M$24-$M$25&lt;=0,0,'PK AN-Brutto kA'!W19*$M$24-$M$25))*$M$31+IF('PK AN-Brutto kA'!W19*$M$24&gt;=$M$25+$M$26,$M$26,IF('PK AN-Brutto kA'!W19*$M$24-$M$25&lt;=0,0,'PK AN-Brutto kA'!W19*$M$24-$M$25))*$M$31*$M$32+IF('PK AN-Brutto kA'!W19*$M$24&gt;=$M$25+$M$26,$M$26,IF('PK AN-Brutto kA'!W19*$M$24-$M$25&lt;=0,0,'PK AN-Brutto kA'!W19*$M$24-$M$25))*$M$31*$M$33+IF('PK AN-Brutto kA'!W19*$M$24&gt;=$M$27,('PK AN-Brutto kA'!W19*$M$24-$M$27+$M$27/$M$24*$M$28-$M$29)*$M$16,('PK AN-Brutto kA'!W19*$M$24/$M$24*$M$28-$M$29)*$M$16)+'PK AN-Brutto kA'!W19*$M$34)/'PK AN-Brutto kA'!W19))</f>
        <v/>
      </c>
      <c r="F52" s="40" t="str">
        <f t="shared" si="10"/>
        <v/>
      </c>
      <c r="G52" s="301"/>
      <c r="H52" s="206" t="str">
        <f t="shared" si="11"/>
        <v/>
      </c>
      <c r="I52" s="302"/>
      <c r="J52" s="206" t="str">
        <f>IF(B52="","",IF(K52="nur eine Option zur Altersversorg. möglich","FEHLER",SUM(B52,C52,D52,F52,H52,I52,12*'PK AN-Brutto kA'!M19)))</f>
        <v/>
      </c>
      <c r="K52" s="207" t="str">
        <f t="shared" si="12"/>
        <v/>
      </c>
    </row>
    <row r="53" spans="1:11" x14ac:dyDescent="0.3">
      <c r="A53" s="41" t="str">
        <f>IF('PK AN-Brutto kA'!A20=0,"",'PK AN-Brutto kA'!A20)</f>
        <v/>
      </c>
      <c r="B53" s="40" t="str">
        <f>IF('PK AN-Brutto kA'!V20="","",'PK AN-Brutto kA'!V20-12*'PK AN-Brutto kA'!M20)</f>
        <v/>
      </c>
      <c r="C53" s="179"/>
      <c r="D53" s="40" t="str">
        <f t="shared" si="14"/>
        <v/>
      </c>
      <c r="E53" s="205" t="str">
        <f>IF(B53="","",IF($M$24=0,"",('PK AN-Brutto kA'!W20*$M$24+IF('PK AN-Brutto kA'!W20*$M$24&gt;=$M$25+$M$26,$M$26,IF('PK AN-Brutto kA'!W20*$M$24-$M$25&lt;=0,0,'PK AN-Brutto kA'!W20*$M$24-$M$25))*$M$31+IF('PK AN-Brutto kA'!W20*$M$24&gt;=$M$25+$M$26,$M$26,IF('PK AN-Brutto kA'!W20*$M$24-$M$25&lt;=0,0,'PK AN-Brutto kA'!W20*$M$24-$M$25))*$M$31*$M$32+IF('PK AN-Brutto kA'!W20*$M$24&gt;=$M$25+$M$26,$M$26,IF('PK AN-Brutto kA'!W20*$M$24-$M$25&lt;=0,0,'PK AN-Brutto kA'!W20*$M$24-$M$25))*$M$31*$M$33+IF('PK AN-Brutto kA'!W20*$M$24&gt;=$M$27,('PK AN-Brutto kA'!W20*$M$24-$M$27+$M$27/$M$24*$M$28-$M$29)*$M$16,('PK AN-Brutto kA'!W20*$M$24/$M$24*$M$28-$M$29)*$M$16)+'PK AN-Brutto kA'!W20*$M$34)/'PK AN-Brutto kA'!W20))</f>
        <v/>
      </c>
      <c r="F53" s="40" t="str">
        <f t="shared" si="10"/>
        <v/>
      </c>
      <c r="G53" s="301"/>
      <c r="H53" s="206" t="str">
        <f t="shared" si="11"/>
        <v/>
      </c>
      <c r="I53" s="302"/>
      <c r="J53" s="206" t="str">
        <f>IF(B53="","",IF(K53="nur eine Option zur Altersversorg. möglich","FEHLER",SUM(B53,C53,D53,F53,H53,I53,12*'PK AN-Brutto kA'!M20)))</f>
        <v/>
      </c>
      <c r="K53" s="207" t="str">
        <f t="shared" si="12"/>
        <v/>
      </c>
    </row>
    <row r="54" spans="1:11" x14ac:dyDescent="0.3">
      <c r="A54" s="41" t="str">
        <f>IF('PK AN-Brutto kA'!A21=0,"",'PK AN-Brutto kA'!A21)</f>
        <v/>
      </c>
      <c r="B54" s="40" t="str">
        <f>IF('PK AN-Brutto kA'!V21="","",'PK AN-Brutto kA'!V21-12*'PK AN-Brutto kA'!M21)</f>
        <v/>
      </c>
      <c r="C54" s="179"/>
      <c r="D54" s="40" t="str">
        <f t="shared" si="14"/>
        <v/>
      </c>
      <c r="E54" s="205" t="str">
        <f>IF(B54="","",IF($M$24=0,"",('PK AN-Brutto kA'!W21*$M$24+IF('PK AN-Brutto kA'!W21*$M$24&gt;=$M$25+$M$26,$M$26,IF('PK AN-Brutto kA'!W21*$M$24-$M$25&lt;=0,0,'PK AN-Brutto kA'!W21*$M$24-$M$25))*$M$31+IF('PK AN-Brutto kA'!W21*$M$24&gt;=$M$25+$M$26,$M$26,IF('PK AN-Brutto kA'!W21*$M$24-$M$25&lt;=0,0,'PK AN-Brutto kA'!W21*$M$24-$M$25))*$M$31*$M$32+IF('PK AN-Brutto kA'!W21*$M$24&gt;=$M$25+$M$26,$M$26,IF('PK AN-Brutto kA'!W21*$M$24-$M$25&lt;=0,0,'PK AN-Brutto kA'!W21*$M$24-$M$25))*$M$31*$M$33+IF('PK AN-Brutto kA'!W21*$M$24&gt;=$M$27,('PK AN-Brutto kA'!W21*$M$24-$M$27+$M$27/$M$24*$M$28-$M$29)*$M$16,('PK AN-Brutto kA'!W21*$M$24/$M$24*$M$28-$M$29)*$M$16)+'PK AN-Brutto kA'!W21*$M$34)/'PK AN-Brutto kA'!W21))</f>
        <v/>
      </c>
      <c r="F54" s="40" t="str">
        <f t="shared" si="10"/>
        <v/>
      </c>
      <c r="G54" s="301"/>
      <c r="H54" s="206" t="str">
        <f t="shared" si="11"/>
        <v/>
      </c>
      <c r="I54" s="302"/>
      <c r="J54" s="206" t="str">
        <f>IF(B54="","",IF(K54="nur eine Option zur Altersversorg. möglich","FEHLER",SUM(B54,C54,D54,F54,H54,I54,12*'PK AN-Brutto kA'!M21)))</f>
        <v/>
      </c>
      <c r="K54" s="207" t="str">
        <f t="shared" si="12"/>
        <v/>
      </c>
    </row>
    <row r="55" spans="1:11" x14ac:dyDescent="0.3">
      <c r="A55" s="41" t="str">
        <f>IF('PK AN-Brutto kA'!A22=0,"",'PK AN-Brutto kA'!A22)</f>
        <v/>
      </c>
      <c r="B55" s="40" t="str">
        <f>IF('PK AN-Brutto kA'!V22="","",'PK AN-Brutto kA'!V22-12*'PK AN-Brutto kA'!M22)</f>
        <v/>
      </c>
      <c r="C55" s="179"/>
      <c r="D55" s="40" t="str">
        <f t="shared" si="14"/>
        <v/>
      </c>
      <c r="E55" s="205" t="str">
        <f>IF(B55="","",IF($M$24=0,"",('PK AN-Brutto kA'!W22*$M$24+IF('PK AN-Brutto kA'!W22*$M$24&gt;=$M$25+$M$26,$M$26,IF('PK AN-Brutto kA'!W22*$M$24-$M$25&lt;=0,0,'PK AN-Brutto kA'!W22*$M$24-$M$25))*$M$31+IF('PK AN-Brutto kA'!W22*$M$24&gt;=$M$25+$M$26,$M$26,IF('PK AN-Brutto kA'!W22*$M$24-$M$25&lt;=0,0,'PK AN-Brutto kA'!W22*$M$24-$M$25))*$M$31*$M$32+IF('PK AN-Brutto kA'!W22*$M$24&gt;=$M$25+$M$26,$M$26,IF('PK AN-Brutto kA'!W22*$M$24-$M$25&lt;=0,0,'PK AN-Brutto kA'!W22*$M$24-$M$25))*$M$31*$M$33+IF('PK AN-Brutto kA'!W22*$M$24&gt;=$M$27,('PK AN-Brutto kA'!W22*$M$24-$M$27+$M$27/$M$24*$M$28-$M$29)*$M$16,('PK AN-Brutto kA'!W22*$M$24/$M$24*$M$28-$M$29)*$M$16)+'PK AN-Brutto kA'!W22*$M$34)/'PK AN-Brutto kA'!W22))</f>
        <v/>
      </c>
      <c r="F55" s="40" t="str">
        <f t="shared" si="10"/>
        <v/>
      </c>
      <c r="G55" s="301"/>
      <c r="H55" s="206" t="str">
        <f t="shared" si="11"/>
        <v/>
      </c>
      <c r="I55" s="302"/>
      <c r="J55" s="206" t="str">
        <f>IF(B55="","",IF(K55="nur eine Option zur Altersversorg. möglich","FEHLER",SUM(B55,C55,D55,F55,H55,I55,12*'PK AN-Brutto kA'!M22)))</f>
        <v/>
      </c>
      <c r="K55" s="207" t="str">
        <f t="shared" si="12"/>
        <v/>
      </c>
    </row>
    <row r="56" spans="1:11" x14ac:dyDescent="0.3">
      <c r="A56" s="41" t="str">
        <f>IF('PK AN-Brutto kA'!A23=0,"",'PK AN-Brutto kA'!A23)</f>
        <v/>
      </c>
      <c r="B56" s="40" t="str">
        <f>IF('PK AN-Brutto kA'!V23="","",'PK AN-Brutto kA'!V23-12*'PK AN-Brutto kA'!M23)</f>
        <v/>
      </c>
      <c r="C56" s="179"/>
      <c r="D56" s="40" t="str">
        <f t="shared" si="14"/>
        <v/>
      </c>
      <c r="E56" s="205" t="str">
        <f>IF(B56="","",IF($M$24=0,"",('PK AN-Brutto kA'!W23*$M$24+IF('PK AN-Brutto kA'!W23*$M$24&gt;=$M$25+$M$26,$M$26,IF('PK AN-Brutto kA'!W23*$M$24-$M$25&lt;=0,0,'PK AN-Brutto kA'!W23*$M$24-$M$25))*$M$31+IF('PK AN-Brutto kA'!W23*$M$24&gt;=$M$25+$M$26,$M$26,IF('PK AN-Brutto kA'!W23*$M$24-$M$25&lt;=0,0,'PK AN-Brutto kA'!W23*$M$24-$M$25))*$M$31*$M$32+IF('PK AN-Brutto kA'!W23*$M$24&gt;=$M$25+$M$26,$M$26,IF('PK AN-Brutto kA'!W23*$M$24-$M$25&lt;=0,0,'PK AN-Brutto kA'!W23*$M$24-$M$25))*$M$31*$M$33+IF('PK AN-Brutto kA'!W23*$M$24&gt;=$M$27,('PK AN-Brutto kA'!W23*$M$24-$M$27+$M$27/$M$24*$M$28-$M$29)*$M$16,('PK AN-Brutto kA'!W23*$M$24/$M$24*$M$28-$M$29)*$M$16)+'PK AN-Brutto kA'!W23*$M$34)/'PK AN-Brutto kA'!W23))</f>
        <v/>
      </c>
      <c r="F56" s="40" t="str">
        <f t="shared" si="10"/>
        <v/>
      </c>
      <c r="G56" s="301"/>
      <c r="H56" s="206" t="str">
        <f t="shared" si="11"/>
        <v/>
      </c>
      <c r="I56" s="302"/>
      <c r="J56" s="206" t="str">
        <f>IF(B56="","",IF(K56="nur eine Option zur Altersversorg. möglich","FEHLER",SUM(B56,C56,D56,F56,H56,I56,12*'PK AN-Brutto kA'!M23)))</f>
        <v/>
      </c>
      <c r="K56" s="207" t="str">
        <f t="shared" si="12"/>
        <v/>
      </c>
    </row>
    <row r="57" spans="1:11" x14ac:dyDescent="0.3">
      <c r="A57" s="41" t="str">
        <f>IF('PK AN-Brutto kA'!A24=0,"",'PK AN-Brutto kA'!A24)</f>
        <v/>
      </c>
      <c r="B57" s="40" t="str">
        <f>IF('PK AN-Brutto kA'!V24="","",'PK AN-Brutto kA'!V24-12*'PK AN-Brutto kA'!M24)</f>
        <v/>
      </c>
      <c r="C57" s="179"/>
      <c r="D57" s="40" t="str">
        <f t="shared" si="14"/>
        <v/>
      </c>
      <c r="E57" s="205" t="str">
        <f>IF(B57="","",IF($M$24=0,"",('PK AN-Brutto kA'!W24*$M$24+IF('PK AN-Brutto kA'!W24*$M$24&gt;=$M$25+$M$26,$M$26,IF('PK AN-Brutto kA'!W24*$M$24-$M$25&lt;=0,0,'PK AN-Brutto kA'!W24*$M$24-$M$25))*$M$31+IF('PK AN-Brutto kA'!W24*$M$24&gt;=$M$25+$M$26,$M$26,IF('PK AN-Brutto kA'!W24*$M$24-$M$25&lt;=0,0,'PK AN-Brutto kA'!W24*$M$24-$M$25))*$M$31*$M$32+IF('PK AN-Brutto kA'!W24*$M$24&gt;=$M$25+$M$26,$M$26,IF('PK AN-Brutto kA'!W24*$M$24-$M$25&lt;=0,0,'PK AN-Brutto kA'!W24*$M$24-$M$25))*$M$31*$M$33+IF('PK AN-Brutto kA'!W24*$M$24&gt;=$M$27,('PK AN-Brutto kA'!W24*$M$24-$M$27+$M$27/$M$24*$M$28-$M$29)*$M$16,('PK AN-Brutto kA'!W24*$M$24/$M$24*$M$28-$M$29)*$M$16)+'PK AN-Brutto kA'!W24*$M$34)/'PK AN-Brutto kA'!W24))</f>
        <v/>
      </c>
      <c r="F57" s="40" t="str">
        <f t="shared" si="10"/>
        <v/>
      </c>
      <c r="G57" s="301"/>
      <c r="H57" s="206" t="str">
        <f t="shared" si="11"/>
        <v/>
      </c>
      <c r="I57" s="302"/>
      <c r="J57" s="206" t="str">
        <f>IF(B57="","",IF(K57="nur eine Option zur Altersversorg. möglich","FEHLER",SUM(B57,C57,D57,F57,H57,I57,12*'PK AN-Brutto kA'!M24)))</f>
        <v/>
      </c>
      <c r="K57" s="207" t="str">
        <f t="shared" si="12"/>
        <v/>
      </c>
    </row>
    <row r="58" spans="1:11" x14ac:dyDescent="0.3">
      <c r="A58" s="41" t="str">
        <f>IF('PK AN-Brutto kA'!A25=0,"",'PK AN-Brutto kA'!A25)</f>
        <v/>
      </c>
      <c r="B58" s="40" t="str">
        <f>IF('PK AN-Brutto kA'!V25="","",'PK AN-Brutto kA'!V25-12*'PK AN-Brutto kA'!M25)</f>
        <v/>
      </c>
      <c r="C58" s="179"/>
      <c r="D58" s="40" t="str">
        <f t="shared" si="14"/>
        <v/>
      </c>
      <c r="E58" s="205" t="str">
        <f>IF(B58="","",IF($M$24=0,"",('PK AN-Brutto kA'!W25*$M$24+IF('PK AN-Brutto kA'!W25*$M$24&gt;=$M$25+$M$26,$M$26,IF('PK AN-Brutto kA'!W25*$M$24-$M$25&lt;=0,0,'PK AN-Brutto kA'!W25*$M$24-$M$25))*$M$31+IF('PK AN-Brutto kA'!W25*$M$24&gt;=$M$25+$M$26,$M$26,IF('PK AN-Brutto kA'!W25*$M$24-$M$25&lt;=0,0,'PK AN-Brutto kA'!W25*$M$24-$M$25))*$M$31*$M$32+IF('PK AN-Brutto kA'!W25*$M$24&gt;=$M$25+$M$26,$M$26,IF('PK AN-Brutto kA'!W25*$M$24-$M$25&lt;=0,0,'PK AN-Brutto kA'!W25*$M$24-$M$25))*$M$31*$M$33+IF('PK AN-Brutto kA'!W25*$M$24&gt;=$M$27,('PK AN-Brutto kA'!W25*$M$24-$M$27+$M$27/$M$24*$M$28-$M$29)*$M$16,('PK AN-Brutto kA'!W25*$M$24/$M$24*$M$28-$M$29)*$M$16)+'PK AN-Brutto kA'!W25*$M$34)/'PK AN-Brutto kA'!W25))</f>
        <v/>
      </c>
      <c r="F58" s="40" t="str">
        <f t="shared" si="10"/>
        <v/>
      </c>
      <c r="G58" s="301"/>
      <c r="H58" s="206" t="str">
        <f t="shared" si="11"/>
        <v/>
      </c>
      <c r="I58" s="302"/>
      <c r="J58" s="206" t="str">
        <f>IF(B58="","",IF(K58="nur eine Option zur Altersversorg. möglich","FEHLER",SUM(B58,C58,D58,F58,H58,I58,12*'PK AN-Brutto kA'!M25)))</f>
        <v/>
      </c>
      <c r="K58" s="207" t="str">
        <f t="shared" si="12"/>
        <v/>
      </c>
    </row>
    <row r="59" spans="1:11" x14ac:dyDescent="0.3">
      <c r="A59" s="41" t="str">
        <f>IF('PK AN-Brutto kA'!A26=0,"",'PK AN-Brutto kA'!A26)</f>
        <v/>
      </c>
      <c r="B59" s="40" t="str">
        <f>IF('PK AN-Brutto kA'!V26="","",'PK AN-Brutto kA'!V26-12*'PK AN-Brutto kA'!M26)</f>
        <v/>
      </c>
      <c r="C59" s="179"/>
      <c r="D59" s="40" t="str">
        <f t="shared" si="14"/>
        <v/>
      </c>
      <c r="E59" s="205" t="str">
        <f>IF(B59="","",IF($M$24=0,"",('PK AN-Brutto kA'!W26*$M$24+IF('PK AN-Brutto kA'!W26*$M$24&gt;=$M$25+$M$26,$M$26,IF('PK AN-Brutto kA'!W26*$M$24-$M$25&lt;=0,0,'PK AN-Brutto kA'!W26*$M$24-$M$25))*$M$31+IF('PK AN-Brutto kA'!W26*$M$24&gt;=$M$25+$M$26,$M$26,IF('PK AN-Brutto kA'!W26*$M$24-$M$25&lt;=0,0,'PK AN-Brutto kA'!W26*$M$24-$M$25))*$M$31*$M$32+IF('PK AN-Brutto kA'!W26*$M$24&gt;=$M$25+$M$26,$M$26,IF('PK AN-Brutto kA'!W26*$M$24-$M$25&lt;=0,0,'PK AN-Brutto kA'!W26*$M$24-$M$25))*$M$31*$M$33+IF('PK AN-Brutto kA'!W26*$M$24&gt;=$M$27,('PK AN-Brutto kA'!W26*$M$24-$M$27+$M$27/$M$24*$M$28-$M$29)*$M$16,('PK AN-Brutto kA'!W26*$M$24/$M$24*$M$28-$M$29)*$M$16)+'PK AN-Brutto kA'!W26*$M$34)/'PK AN-Brutto kA'!W26))</f>
        <v/>
      </c>
      <c r="F59" s="40" t="str">
        <f t="shared" si="10"/>
        <v/>
      </c>
      <c r="G59" s="301"/>
      <c r="H59" s="206" t="str">
        <f t="shared" si="11"/>
        <v/>
      </c>
      <c r="I59" s="302"/>
      <c r="J59" s="206" t="str">
        <f>IF(B59="","",IF(K59="nur eine Option zur Altersversorg. möglich","FEHLER",SUM(B59,C59,D59,F59,H59,I59,12*'PK AN-Brutto kA'!M26)))</f>
        <v/>
      </c>
      <c r="K59" s="207" t="str">
        <f t="shared" si="12"/>
        <v/>
      </c>
    </row>
    <row r="60" spans="1:11" x14ac:dyDescent="0.3">
      <c r="A60" s="41" t="str">
        <f>IF('PK AN-Brutto kA'!A27=0,"",'PK AN-Brutto kA'!A27)</f>
        <v/>
      </c>
      <c r="B60" s="40" t="str">
        <f>IF('PK AN-Brutto kA'!V27="","",'PK AN-Brutto kA'!V27-12*'PK AN-Brutto kA'!M27)</f>
        <v/>
      </c>
      <c r="C60" s="179"/>
      <c r="D60" s="40" t="str">
        <f t="shared" si="14"/>
        <v/>
      </c>
      <c r="E60" s="205" t="str">
        <f>IF(B60="","",IF($M$24=0,"",('PK AN-Brutto kA'!W27*$M$24+IF('PK AN-Brutto kA'!W27*$M$24&gt;=$M$25+$M$26,$M$26,IF('PK AN-Brutto kA'!W27*$M$24-$M$25&lt;=0,0,'PK AN-Brutto kA'!W27*$M$24-$M$25))*$M$31+IF('PK AN-Brutto kA'!W27*$M$24&gt;=$M$25+$M$26,$M$26,IF('PK AN-Brutto kA'!W27*$M$24-$M$25&lt;=0,0,'PK AN-Brutto kA'!W27*$M$24-$M$25))*$M$31*$M$32+IF('PK AN-Brutto kA'!W27*$M$24&gt;=$M$25+$M$26,$M$26,IF('PK AN-Brutto kA'!W27*$M$24-$M$25&lt;=0,0,'PK AN-Brutto kA'!W27*$M$24-$M$25))*$M$31*$M$33+IF('PK AN-Brutto kA'!W27*$M$24&gt;=$M$27,('PK AN-Brutto kA'!W27*$M$24-$M$27+$M$27/$M$24*$M$28-$M$29)*$M$16,('PK AN-Brutto kA'!W27*$M$24/$M$24*$M$28-$M$29)*$M$16)+'PK AN-Brutto kA'!W27*$M$34)/'PK AN-Brutto kA'!W27))</f>
        <v/>
      </c>
      <c r="F60" s="40" t="str">
        <f t="shared" si="10"/>
        <v/>
      </c>
      <c r="G60" s="301"/>
      <c r="H60" s="206" t="str">
        <f t="shared" si="11"/>
        <v/>
      </c>
      <c r="I60" s="302"/>
      <c r="J60" s="206" t="str">
        <f>IF(B60="","",IF(K60="nur eine Option zur Altersversorg. möglich","FEHLER",SUM(B60,C60,D60,F60,H60,I60,12*'PK AN-Brutto kA'!M27)))</f>
        <v/>
      </c>
      <c r="K60" s="207" t="str">
        <f t="shared" si="12"/>
        <v/>
      </c>
    </row>
    <row r="61" spans="1:11" x14ac:dyDescent="0.3">
      <c r="A61" s="41" t="str">
        <f>IF('PK AN-Brutto kA'!A28=0,"",'PK AN-Brutto kA'!A28)</f>
        <v/>
      </c>
      <c r="B61" s="40" t="str">
        <f>IF('PK AN-Brutto kA'!V28="","",'PK AN-Brutto kA'!V28-12*'PK AN-Brutto kA'!M28)</f>
        <v/>
      </c>
      <c r="C61" s="179"/>
      <c r="D61" s="40" t="str">
        <f t="shared" si="14"/>
        <v/>
      </c>
      <c r="E61" s="205" t="str">
        <f>IF(B61="","",IF($M$24=0,"",('PK AN-Brutto kA'!W28*$M$24+IF('PK AN-Brutto kA'!W28*$M$24&gt;=$M$25+$M$26,$M$26,IF('PK AN-Brutto kA'!W28*$M$24-$M$25&lt;=0,0,'PK AN-Brutto kA'!W28*$M$24-$M$25))*$M$31+IF('PK AN-Brutto kA'!W28*$M$24&gt;=$M$25+$M$26,$M$26,IF('PK AN-Brutto kA'!W28*$M$24-$M$25&lt;=0,0,'PK AN-Brutto kA'!W28*$M$24-$M$25))*$M$31*$M$32+IF('PK AN-Brutto kA'!W28*$M$24&gt;=$M$25+$M$26,$M$26,IF('PK AN-Brutto kA'!W28*$M$24-$M$25&lt;=0,0,'PK AN-Brutto kA'!W28*$M$24-$M$25))*$M$31*$M$33+IF('PK AN-Brutto kA'!W28*$M$24&gt;=$M$27,('PK AN-Brutto kA'!W28*$M$24-$M$27+$M$27/$M$24*$M$28-$M$29)*$M$16,('PK AN-Brutto kA'!W28*$M$24/$M$24*$M$28-$M$29)*$M$16)+'PK AN-Brutto kA'!W28*$M$34)/'PK AN-Brutto kA'!W28))</f>
        <v/>
      </c>
      <c r="F61" s="40" t="str">
        <f t="shared" si="10"/>
        <v/>
      </c>
      <c r="G61" s="301"/>
      <c r="H61" s="206" t="str">
        <f t="shared" si="11"/>
        <v/>
      </c>
      <c r="I61" s="302"/>
      <c r="J61" s="206" t="str">
        <f>IF(B61="","",IF(K61="nur eine Option zur Altersversorg. möglich","FEHLER",SUM(B61,C61,D61,F61,H61,I61,12*'PK AN-Brutto kA'!M28)))</f>
        <v/>
      </c>
      <c r="K61" s="207" t="str">
        <f t="shared" si="12"/>
        <v/>
      </c>
    </row>
    <row r="62" spans="1:11" x14ac:dyDescent="0.3">
      <c r="A62" s="41" t="str">
        <f>IF('PK AN-Brutto kA'!A29=0,"",'PK AN-Brutto kA'!A29)</f>
        <v/>
      </c>
      <c r="B62" s="40" t="str">
        <f>IF('PK AN-Brutto kA'!V29="","",'PK AN-Brutto kA'!V29-12*'PK AN-Brutto kA'!M29)</f>
        <v/>
      </c>
      <c r="C62" s="179"/>
      <c r="D62" s="40" t="str">
        <f t="shared" si="14"/>
        <v/>
      </c>
      <c r="E62" s="205" t="str">
        <f>IF(B62="","",IF($M$24=0,"",('PK AN-Brutto kA'!W29*$M$24+IF('PK AN-Brutto kA'!W29*$M$24&gt;=$M$25+$M$26,$M$26,IF('PK AN-Brutto kA'!W29*$M$24-$M$25&lt;=0,0,'PK AN-Brutto kA'!W29*$M$24-$M$25))*$M$31+IF('PK AN-Brutto kA'!W29*$M$24&gt;=$M$25+$M$26,$M$26,IF('PK AN-Brutto kA'!W29*$M$24-$M$25&lt;=0,0,'PK AN-Brutto kA'!W29*$M$24-$M$25))*$M$31*$M$32+IF('PK AN-Brutto kA'!W29*$M$24&gt;=$M$25+$M$26,$M$26,IF('PK AN-Brutto kA'!W29*$M$24-$M$25&lt;=0,0,'PK AN-Brutto kA'!W29*$M$24-$M$25))*$M$31*$M$33+IF('PK AN-Brutto kA'!W29*$M$24&gt;=$M$27,('PK AN-Brutto kA'!W29*$M$24-$M$27+$M$27/$M$24*$M$28-$M$29)*$M$16,('PK AN-Brutto kA'!W29*$M$24/$M$24*$M$28-$M$29)*$M$16)+'PK AN-Brutto kA'!W29*$M$34)/'PK AN-Brutto kA'!W29))</f>
        <v/>
      </c>
      <c r="F62" s="40" t="str">
        <f t="shared" si="10"/>
        <v/>
      </c>
      <c r="G62" s="301"/>
      <c r="H62" s="206" t="str">
        <f t="shared" si="11"/>
        <v/>
      </c>
      <c r="I62" s="302"/>
      <c r="J62" s="206" t="str">
        <f>IF(B62="","",IF(K62="nur eine Option zur Altersversorg. möglich","FEHLER",SUM(B62,C62,D62,F62,H62,I62,12*'PK AN-Brutto kA'!M29)))</f>
        <v/>
      </c>
      <c r="K62" s="207" t="str">
        <f t="shared" si="12"/>
        <v/>
      </c>
    </row>
    <row r="63" spans="1:11" x14ac:dyDescent="0.3">
      <c r="A63" s="41" t="str">
        <f>IF('PK AN-Brutto kA'!A30=0,"",'PK AN-Brutto kA'!A30)</f>
        <v/>
      </c>
      <c r="B63" s="40" t="str">
        <f>IF('PK AN-Brutto kA'!V30="","",'PK AN-Brutto kA'!V30-12*'PK AN-Brutto kA'!M30)</f>
        <v/>
      </c>
      <c r="C63" s="179"/>
      <c r="D63" s="40" t="str">
        <f t="shared" si="14"/>
        <v/>
      </c>
      <c r="E63" s="205" t="str">
        <f>IF(B63="","",IF($M$24=0,"",('PK AN-Brutto kA'!W30*$M$24+IF('PK AN-Brutto kA'!W30*$M$24&gt;=$M$25+$M$26,$M$26,IF('PK AN-Brutto kA'!W30*$M$24-$M$25&lt;=0,0,'PK AN-Brutto kA'!W30*$M$24-$M$25))*$M$31+IF('PK AN-Brutto kA'!W30*$M$24&gt;=$M$25+$M$26,$M$26,IF('PK AN-Brutto kA'!W30*$M$24-$M$25&lt;=0,0,'PK AN-Brutto kA'!W30*$M$24-$M$25))*$M$31*$M$32+IF('PK AN-Brutto kA'!W30*$M$24&gt;=$M$25+$M$26,$M$26,IF('PK AN-Brutto kA'!W30*$M$24-$M$25&lt;=0,0,'PK AN-Brutto kA'!W30*$M$24-$M$25))*$M$31*$M$33+IF('PK AN-Brutto kA'!W30*$M$24&gt;=$M$27,('PK AN-Brutto kA'!W30*$M$24-$M$27+$M$27/$M$24*$M$28-$M$29)*$M$16,('PK AN-Brutto kA'!W30*$M$24/$M$24*$M$28-$M$29)*$M$16)+'PK AN-Brutto kA'!W30*$M$34)/'PK AN-Brutto kA'!W30))</f>
        <v/>
      </c>
      <c r="F63" s="40" t="str">
        <f t="shared" si="10"/>
        <v/>
      </c>
      <c r="G63" s="301"/>
      <c r="H63" s="206" t="str">
        <f t="shared" si="11"/>
        <v/>
      </c>
      <c r="I63" s="302"/>
      <c r="J63" s="206" t="str">
        <f>IF(B63="","",IF(K63="nur eine Option zur Altersversorg. möglich","FEHLER",SUM(B63,C63,D63,F63,H63,I63,12*'PK AN-Brutto kA'!M30)))</f>
        <v/>
      </c>
      <c r="K63" s="207" t="str">
        <f t="shared" si="12"/>
        <v/>
      </c>
    </row>
    <row r="64" spans="1:11" x14ac:dyDescent="0.3">
      <c r="A64" s="41" t="str">
        <f>IF('PK AN-Brutto kA'!A31=0,"",'PK AN-Brutto kA'!A31)</f>
        <v/>
      </c>
      <c r="B64" s="40" t="str">
        <f>IF('PK AN-Brutto kA'!V31="","",'PK AN-Brutto kA'!V31-12*'PK AN-Brutto kA'!M31)</f>
        <v/>
      </c>
      <c r="C64" s="179"/>
      <c r="D64" s="40" t="str">
        <f t="shared" si="14"/>
        <v/>
      </c>
      <c r="E64" s="205" t="str">
        <f>IF(B64="","",IF($M$24=0,"",('PK AN-Brutto kA'!W31*$M$24+IF('PK AN-Brutto kA'!W31*$M$24&gt;=$M$25+$M$26,$M$26,IF('PK AN-Brutto kA'!W31*$M$24-$M$25&lt;=0,0,'PK AN-Brutto kA'!W31*$M$24-$M$25))*$M$31+IF('PK AN-Brutto kA'!W31*$M$24&gt;=$M$25+$M$26,$M$26,IF('PK AN-Brutto kA'!W31*$M$24-$M$25&lt;=0,0,'PK AN-Brutto kA'!W31*$M$24-$M$25))*$M$31*$M$32+IF('PK AN-Brutto kA'!W31*$M$24&gt;=$M$25+$M$26,$M$26,IF('PK AN-Brutto kA'!W31*$M$24-$M$25&lt;=0,0,'PK AN-Brutto kA'!W31*$M$24-$M$25))*$M$31*$M$33+IF('PK AN-Brutto kA'!W31*$M$24&gt;=$M$27,('PK AN-Brutto kA'!W31*$M$24-$M$27+$M$27/$M$24*$M$28-$M$29)*$M$16,('PK AN-Brutto kA'!W31*$M$24/$M$24*$M$28-$M$29)*$M$16)+'PK AN-Brutto kA'!W31*$M$34)/'PK AN-Brutto kA'!W31))</f>
        <v/>
      </c>
      <c r="F64" s="40" t="str">
        <f t="shared" si="10"/>
        <v/>
      </c>
      <c r="G64" s="301"/>
      <c r="H64" s="206" t="str">
        <f t="shared" si="11"/>
        <v/>
      </c>
      <c r="I64" s="302"/>
      <c r="J64" s="206" t="str">
        <f>IF(B64="","",IF(K64="nur eine Option zur Altersversorg. möglich","FEHLER",SUM(B64,C64,D64,F64,H64,I64,12*'PK AN-Brutto kA'!M31)))</f>
        <v/>
      </c>
      <c r="K64" s="207" t="str">
        <f t="shared" si="12"/>
        <v/>
      </c>
    </row>
    <row r="65" spans="1:18" x14ac:dyDescent="0.3">
      <c r="A65" s="41" t="str">
        <f>IF('PK AN-Brutto kA'!A32=0,"",'PK AN-Brutto kA'!A32)</f>
        <v/>
      </c>
      <c r="B65" s="40" t="str">
        <f>IF('PK AN-Brutto kA'!V32="","",'PK AN-Brutto kA'!V32-12*'PK AN-Brutto kA'!M32)</f>
        <v/>
      </c>
      <c r="C65" s="179"/>
      <c r="D65" s="40" t="str">
        <f t="shared" si="14"/>
        <v/>
      </c>
      <c r="E65" s="205" t="str">
        <f>IF(B65="","",IF($M$24=0,"",('PK AN-Brutto kA'!W32*$M$24+IF('PK AN-Brutto kA'!W32*$M$24&gt;=$M$25+$M$26,$M$26,IF('PK AN-Brutto kA'!W32*$M$24-$M$25&lt;=0,0,'PK AN-Brutto kA'!W32*$M$24-$M$25))*$M$31+IF('PK AN-Brutto kA'!W32*$M$24&gt;=$M$25+$M$26,$M$26,IF('PK AN-Brutto kA'!W32*$M$24-$M$25&lt;=0,0,'PK AN-Brutto kA'!W32*$M$24-$M$25))*$M$31*$M$32+IF('PK AN-Brutto kA'!W32*$M$24&gt;=$M$25+$M$26,$M$26,IF('PK AN-Brutto kA'!W32*$M$24-$M$25&lt;=0,0,'PK AN-Brutto kA'!W32*$M$24-$M$25))*$M$31*$M$33+IF('PK AN-Brutto kA'!W32*$M$24&gt;=$M$27,('PK AN-Brutto kA'!W32*$M$24-$M$27+$M$27/$M$24*$M$28-$M$29)*$M$16,('PK AN-Brutto kA'!W32*$M$24/$M$24*$M$28-$M$29)*$M$16)+'PK AN-Brutto kA'!W32*$M$34)/'PK AN-Brutto kA'!W32))</f>
        <v/>
      </c>
      <c r="F65" s="40" t="str">
        <f t="shared" si="10"/>
        <v/>
      </c>
      <c r="G65" s="301"/>
      <c r="H65" s="206" t="str">
        <f t="shared" si="11"/>
        <v/>
      </c>
      <c r="I65" s="302"/>
      <c r="J65" s="206" t="str">
        <f>IF(B65="","",IF(K65="nur eine Option zur Altersversorg. möglich","FEHLER",SUM(B65,C65,D65,F65,H65,I65,12*'PK AN-Brutto kA'!M32)))</f>
        <v/>
      </c>
      <c r="K65" s="207" t="str">
        <f t="shared" si="12"/>
        <v/>
      </c>
    </row>
    <row r="66" spans="1:18" x14ac:dyDescent="0.3">
      <c r="A66" s="41" t="str">
        <f>IF('PK AN-Brutto kA'!A33=0,"",'PK AN-Brutto kA'!A33)</f>
        <v/>
      </c>
      <c r="B66" s="40" t="str">
        <f>IF('PK AN-Brutto kA'!V33="","",'PK AN-Brutto kA'!V33-12*'PK AN-Brutto kA'!M33)</f>
        <v/>
      </c>
      <c r="C66" s="179"/>
      <c r="D66" s="40" t="str">
        <f t="shared" si="14"/>
        <v/>
      </c>
      <c r="E66" s="205" t="str">
        <f>IF(B66="","",IF($M$24=0,"",('PK AN-Brutto kA'!W33*$M$24+IF('PK AN-Brutto kA'!W33*$M$24&gt;=$M$25+$M$26,$M$26,IF('PK AN-Brutto kA'!W33*$M$24-$M$25&lt;=0,0,'PK AN-Brutto kA'!W33*$M$24-$M$25))*$M$31+IF('PK AN-Brutto kA'!W33*$M$24&gt;=$M$25+$M$26,$M$26,IF('PK AN-Brutto kA'!W33*$M$24-$M$25&lt;=0,0,'PK AN-Brutto kA'!W33*$M$24-$M$25))*$M$31*$M$32+IF('PK AN-Brutto kA'!W33*$M$24&gt;=$M$25+$M$26,$M$26,IF('PK AN-Brutto kA'!W33*$M$24-$M$25&lt;=0,0,'PK AN-Brutto kA'!W33*$M$24-$M$25))*$M$31*$M$33+IF('PK AN-Brutto kA'!W33*$M$24&gt;=$M$27,('PK AN-Brutto kA'!W33*$M$24-$M$27+$M$27/$M$24*$M$28-$M$29)*$M$16,('PK AN-Brutto kA'!W33*$M$24/$M$24*$M$28-$M$29)*$M$16)+'PK AN-Brutto kA'!W33*$M$34)/'PK AN-Brutto kA'!W33))</f>
        <v/>
      </c>
      <c r="F66" s="40" t="str">
        <f t="shared" si="10"/>
        <v/>
      </c>
      <c r="G66" s="301"/>
      <c r="H66" s="206" t="str">
        <f t="shared" si="11"/>
        <v/>
      </c>
      <c r="I66" s="302"/>
      <c r="J66" s="206" t="str">
        <f>IF(B66="","",IF(K66="nur eine Option zur Altersversorg. möglich","FEHLER",SUM(B66,C66,D66,F66,H66,I66,12*'PK AN-Brutto kA'!M33)))</f>
        <v/>
      </c>
      <c r="K66" s="207" t="str">
        <f t="shared" si="12"/>
        <v/>
      </c>
    </row>
    <row r="67" spans="1:18" x14ac:dyDescent="0.3">
      <c r="A67" s="41" t="str">
        <f>IF('PK AN-Brutto kA'!A34=0,"",'PK AN-Brutto kA'!A34)</f>
        <v/>
      </c>
      <c r="B67" s="40" t="str">
        <f>IF('PK AN-Brutto kA'!V34="","",'PK AN-Brutto kA'!V34-12*'PK AN-Brutto kA'!M34)</f>
        <v/>
      </c>
      <c r="C67" s="179"/>
      <c r="D67" s="40" t="str">
        <f t="shared" si="14"/>
        <v/>
      </c>
      <c r="E67" s="205" t="str">
        <f>IF(B67="","",IF($M$24=0,"",('PK AN-Brutto kA'!W34*$M$24+IF('PK AN-Brutto kA'!W34*$M$24&gt;=$M$25+$M$26,$M$26,IF('PK AN-Brutto kA'!W34*$M$24-$M$25&lt;=0,0,'PK AN-Brutto kA'!W34*$M$24-$M$25))*$M$31+IF('PK AN-Brutto kA'!W34*$M$24&gt;=$M$25+$M$26,$M$26,IF('PK AN-Brutto kA'!W34*$M$24-$M$25&lt;=0,0,'PK AN-Brutto kA'!W34*$M$24-$M$25))*$M$31*$M$32+IF('PK AN-Brutto kA'!W34*$M$24&gt;=$M$25+$M$26,$M$26,IF('PK AN-Brutto kA'!W34*$M$24-$M$25&lt;=0,0,'PK AN-Brutto kA'!W34*$M$24-$M$25))*$M$31*$M$33+IF('PK AN-Brutto kA'!W34*$M$24&gt;=$M$27,('PK AN-Brutto kA'!W34*$M$24-$M$27+$M$27/$M$24*$M$28-$M$29)*$M$16,('PK AN-Brutto kA'!W34*$M$24/$M$24*$M$28-$M$29)*$M$16)+'PK AN-Brutto kA'!W34*$M$34)/'PK AN-Brutto kA'!W34))</f>
        <v/>
      </c>
      <c r="F67" s="40" t="str">
        <f t="shared" si="10"/>
        <v/>
      </c>
      <c r="G67" s="301"/>
      <c r="H67" s="206" t="str">
        <f t="shared" si="11"/>
        <v/>
      </c>
      <c r="I67" s="302"/>
      <c r="J67" s="206" t="str">
        <f>IF(B67="","",IF(K67="nur eine Option zur Altersversorg. möglich","FEHLER",SUM(B67,C67,D67,F67,H67,I67,12*'PK AN-Brutto kA'!M34)))</f>
        <v/>
      </c>
      <c r="K67" s="207" t="str">
        <f t="shared" si="12"/>
        <v/>
      </c>
    </row>
    <row r="68" spans="1:18" x14ac:dyDescent="0.3">
      <c r="A68" s="41" t="str">
        <f>IF('PK AN-Brutto kA'!A35=0,"",'PK AN-Brutto kA'!A35)</f>
        <v/>
      </c>
      <c r="B68" s="40" t="str">
        <f>IF('PK AN-Brutto kA'!V35="","",'PK AN-Brutto kA'!V35-12*'PK AN-Brutto kA'!M35)</f>
        <v/>
      </c>
      <c r="C68" s="179"/>
      <c r="D68" s="40" t="str">
        <f t="shared" si="14"/>
        <v/>
      </c>
      <c r="E68" s="205" t="str">
        <f>IF(B68="","",IF($M$24=0,"",('PK AN-Brutto kA'!W35*$M$24+IF('PK AN-Brutto kA'!W35*$M$24&gt;=$M$25+$M$26,$M$26,IF('PK AN-Brutto kA'!W35*$M$24-$M$25&lt;=0,0,'PK AN-Brutto kA'!W35*$M$24-$M$25))*$M$31+IF('PK AN-Brutto kA'!W35*$M$24&gt;=$M$25+$M$26,$M$26,IF('PK AN-Brutto kA'!W35*$M$24-$M$25&lt;=0,0,'PK AN-Brutto kA'!W35*$M$24-$M$25))*$M$31*$M$32+IF('PK AN-Brutto kA'!W35*$M$24&gt;=$M$25+$M$26,$M$26,IF('PK AN-Brutto kA'!W35*$M$24-$M$25&lt;=0,0,'PK AN-Brutto kA'!W35*$M$24-$M$25))*$M$31*$M$33+IF('PK AN-Brutto kA'!W35*$M$24&gt;=$M$27,('PK AN-Brutto kA'!W35*$M$24-$M$27+$M$27/$M$24*$M$28-$M$29)*$M$16,('PK AN-Brutto kA'!W35*$M$24/$M$24*$M$28-$M$29)*$M$16)+'PK AN-Brutto kA'!W35*$M$34)/'PK AN-Brutto kA'!W35))</f>
        <v/>
      </c>
      <c r="F68" s="40" t="str">
        <f t="shared" si="10"/>
        <v/>
      </c>
      <c r="G68" s="301"/>
      <c r="H68" s="206" t="str">
        <f t="shared" si="11"/>
        <v/>
      </c>
      <c r="I68" s="302"/>
      <c r="J68" s="206" t="str">
        <f>IF(B68="","",IF(K68="nur eine Option zur Altersversorg. möglich","FEHLER",SUM(B68,C68,D68,F68,H68,I68,12*'PK AN-Brutto kA'!M35)))</f>
        <v/>
      </c>
      <c r="K68" s="207" t="str">
        <f t="shared" si="12"/>
        <v/>
      </c>
    </row>
    <row r="69" spans="1:18" x14ac:dyDescent="0.3">
      <c r="A69" s="41" t="str">
        <f>IF('PK AN-Brutto kA'!A36=0,"",'PK AN-Brutto kA'!A36)</f>
        <v/>
      </c>
      <c r="B69" s="40" t="str">
        <f>IF('PK AN-Brutto kA'!V36="","",'PK AN-Brutto kA'!V36-12*'PK AN-Brutto kA'!M36)</f>
        <v/>
      </c>
      <c r="C69" s="179"/>
      <c r="D69" s="40" t="str">
        <f t="shared" si="14"/>
        <v/>
      </c>
      <c r="E69" s="205" t="str">
        <f>IF(B69="","",IF($M$24=0,"",('PK AN-Brutto kA'!W36*$M$24+IF('PK AN-Brutto kA'!W36*$M$24&gt;=$M$25+$M$26,$M$26,IF('PK AN-Brutto kA'!W36*$M$24-$M$25&lt;=0,0,'PK AN-Brutto kA'!W36*$M$24-$M$25))*$M$31+IF('PK AN-Brutto kA'!W36*$M$24&gt;=$M$25+$M$26,$M$26,IF('PK AN-Brutto kA'!W36*$M$24-$M$25&lt;=0,0,'PK AN-Brutto kA'!W36*$M$24-$M$25))*$M$31*$M$32+IF('PK AN-Brutto kA'!W36*$M$24&gt;=$M$25+$M$26,$M$26,IF('PK AN-Brutto kA'!W36*$M$24-$M$25&lt;=0,0,'PK AN-Brutto kA'!W36*$M$24-$M$25))*$M$31*$M$33+IF('PK AN-Brutto kA'!W36*$M$24&gt;=$M$27,('PK AN-Brutto kA'!W36*$M$24-$M$27+$M$27/$M$24*$M$28-$M$29)*$M$16,('PK AN-Brutto kA'!W36*$M$24/$M$24*$M$28-$M$29)*$M$16)+'PK AN-Brutto kA'!W36*$M$34)/'PK AN-Brutto kA'!W36))</f>
        <v/>
      </c>
      <c r="F69" s="40" t="str">
        <f t="shared" si="10"/>
        <v/>
      </c>
      <c r="G69" s="301"/>
      <c r="H69" s="206" t="str">
        <f t="shared" si="11"/>
        <v/>
      </c>
      <c r="I69" s="302"/>
      <c r="J69" s="206" t="str">
        <f>IF(B69="","",IF(K69="nur eine Option zur Altersversorg. möglich","FEHLER",SUM(B69,C69,D69,F69,H69,I69,12*'PK AN-Brutto kA'!M36)))</f>
        <v/>
      </c>
      <c r="K69" s="207" t="str">
        <f t="shared" si="12"/>
        <v/>
      </c>
    </row>
    <row r="70" spans="1:18" x14ac:dyDescent="0.3">
      <c r="A70" s="41" t="str">
        <f>IF('PK AN-Brutto kA'!A37=0,"",'PK AN-Brutto kA'!A37)</f>
        <v/>
      </c>
      <c r="B70" s="40" t="str">
        <f>IF('PK AN-Brutto kA'!V37="","",'PK AN-Brutto kA'!V37-12*'PK AN-Brutto kA'!M37)</f>
        <v/>
      </c>
      <c r="C70" s="179"/>
      <c r="D70" s="40" t="str">
        <f t="shared" si="14"/>
        <v/>
      </c>
      <c r="E70" s="205" t="str">
        <f>IF(B70="","",IF($M$24=0,"",('PK AN-Brutto kA'!W37*$M$24+IF('PK AN-Brutto kA'!W37*$M$24&gt;=$M$25+$M$26,$M$26,IF('PK AN-Brutto kA'!W37*$M$24-$M$25&lt;=0,0,'PK AN-Brutto kA'!W37*$M$24-$M$25))*$M$31+IF('PK AN-Brutto kA'!W37*$M$24&gt;=$M$25+$M$26,$M$26,IF('PK AN-Brutto kA'!W37*$M$24-$M$25&lt;=0,0,'PK AN-Brutto kA'!W37*$M$24-$M$25))*$M$31*$M$32+IF('PK AN-Brutto kA'!W37*$M$24&gt;=$M$25+$M$26,$M$26,IF('PK AN-Brutto kA'!W37*$M$24-$M$25&lt;=0,0,'PK AN-Brutto kA'!W37*$M$24-$M$25))*$M$31*$M$33+IF('PK AN-Brutto kA'!W37*$M$24&gt;=$M$27,('PK AN-Brutto kA'!W37*$M$24-$M$27+$M$27/$M$24*$M$28-$M$29)*$M$16,('PK AN-Brutto kA'!W37*$M$24/$M$24*$M$28-$M$29)*$M$16)+'PK AN-Brutto kA'!W37*$M$34)/'PK AN-Brutto kA'!W37))</f>
        <v/>
      </c>
      <c r="F70" s="40" t="str">
        <f t="shared" ref="F70:F77" si="15">IF(E70="","",ROUND(B70*E70,2))</f>
        <v/>
      </c>
      <c r="G70" s="301"/>
      <c r="H70" s="206" t="str">
        <f t="shared" ref="H70:H77" si="16">IF(G70&gt;0,ROUND(B70*G70,2),"")</f>
        <v/>
      </c>
      <c r="I70" s="302"/>
      <c r="J70" s="206" t="str">
        <f>IF(B70="","",IF(K70="nur eine Option zur Altersversorg. möglich","FEHLER",SUM(B70,C70,D70,F70,H70,I70,12*'PK AN-Brutto kA'!M37)))</f>
        <v/>
      </c>
      <c r="K70" s="207" t="str">
        <f t="shared" si="12"/>
        <v/>
      </c>
    </row>
    <row r="71" spans="1:18" x14ac:dyDescent="0.3">
      <c r="A71" s="41" t="str">
        <f>IF('PK AN-Brutto kA'!A38=0,"",'PK AN-Brutto kA'!A38)</f>
        <v/>
      </c>
      <c r="B71" s="40" t="str">
        <f>IF('PK AN-Brutto kA'!V38="","",'PK AN-Brutto kA'!V38-12*'PK AN-Brutto kA'!M38)</f>
        <v/>
      </c>
      <c r="C71" s="179"/>
      <c r="D71" s="40" t="str">
        <f t="shared" si="14"/>
        <v/>
      </c>
      <c r="E71" s="205" t="str">
        <f>IF(B71="","",IF($M$24=0,"",('PK AN-Brutto kA'!W38*$M$24+IF('PK AN-Brutto kA'!W38*$M$24&gt;=$M$25+$M$26,$M$26,IF('PK AN-Brutto kA'!W38*$M$24-$M$25&lt;=0,0,'PK AN-Brutto kA'!W38*$M$24-$M$25))*$M$31+IF('PK AN-Brutto kA'!W38*$M$24&gt;=$M$25+$M$26,$M$26,IF('PK AN-Brutto kA'!W38*$M$24-$M$25&lt;=0,0,'PK AN-Brutto kA'!W38*$M$24-$M$25))*$M$31*$M$32+IF('PK AN-Brutto kA'!W38*$M$24&gt;=$M$25+$M$26,$M$26,IF('PK AN-Brutto kA'!W38*$M$24-$M$25&lt;=0,0,'PK AN-Brutto kA'!W38*$M$24-$M$25))*$M$31*$M$33+IF('PK AN-Brutto kA'!W38*$M$24&gt;=$M$27,('PK AN-Brutto kA'!W38*$M$24-$M$27+$M$27/$M$24*$M$28-$M$29)*$M$16,('PK AN-Brutto kA'!W38*$M$24/$M$24*$M$28-$M$29)*$M$16)+'PK AN-Brutto kA'!W38*$M$34)/'PK AN-Brutto kA'!W38))</f>
        <v/>
      </c>
      <c r="F71" s="40" t="str">
        <f t="shared" si="15"/>
        <v/>
      </c>
      <c r="G71" s="301"/>
      <c r="H71" s="206" t="str">
        <f t="shared" si="16"/>
        <v/>
      </c>
      <c r="I71" s="302"/>
      <c r="J71" s="206" t="str">
        <f>IF(B71="","",IF(K71="nur eine Option zur Altersversorg. möglich","FEHLER",SUM(B71,C71,D71,F71,H71,I71,12*'PK AN-Brutto kA'!M38)))</f>
        <v/>
      </c>
      <c r="K71" s="207" t="str">
        <f t="shared" si="12"/>
        <v/>
      </c>
    </row>
    <row r="72" spans="1:18" x14ac:dyDescent="0.3">
      <c r="A72" s="41" t="str">
        <f>IF('PK AN-Brutto kA'!A39=0,"",'PK AN-Brutto kA'!A39)</f>
        <v/>
      </c>
      <c r="B72" s="40" t="str">
        <f>IF('PK AN-Brutto kA'!V39="","",'PK AN-Brutto kA'!V39-12*'PK AN-Brutto kA'!M39)</f>
        <v/>
      </c>
      <c r="C72" s="179"/>
      <c r="D72" s="40" t="str">
        <f t="shared" ref="D72:D74" si="17">IF(B72="","",ROUND($B72*D$4,2))</f>
        <v/>
      </c>
      <c r="E72" s="205" t="str">
        <f>IF(B72="","",IF($M$24=0,"",('PK AN-Brutto kA'!W39*$M$24+IF('PK AN-Brutto kA'!W39*$M$24&gt;=$M$25+$M$26,$M$26,IF('PK AN-Brutto kA'!W39*$M$24-$M$25&lt;=0,0,'PK AN-Brutto kA'!W39*$M$24-$M$25))*$M$31+IF('PK AN-Brutto kA'!W39*$M$24&gt;=$M$25+$M$26,$M$26,IF('PK AN-Brutto kA'!W39*$M$24-$M$25&lt;=0,0,'PK AN-Brutto kA'!W39*$M$24-$M$25))*$M$31*$M$32+IF('PK AN-Brutto kA'!W39*$M$24&gt;=$M$25+$M$26,$M$26,IF('PK AN-Brutto kA'!W39*$M$24-$M$25&lt;=0,0,'PK AN-Brutto kA'!W39*$M$24-$M$25))*$M$31*$M$33+IF('PK AN-Brutto kA'!W39*$M$24&gt;=$M$27,('PK AN-Brutto kA'!W39*$M$24-$M$27+$M$27/$M$24*$M$28-$M$29)*$M$16,('PK AN-Brutto kA'!W39*$M$24/$M$24*$M$28-$M$29)*$M$16)+'PK AN-Brutto kA'!W39*$M$34)/'PK AN-Brutto kA'!W39))</f>
        <v/>
      </c>
      <c r="F72" s="40" t="str">
        <f t="shared" si="15"/>
        <v/>
      </c>
      <c r="G72" s="301"/>
      <c r="H72" s="206" t="str">
        <f t="shared" si="16"/>
        <v/>
      </c>
      <c r="I72" s="302"/>
      <c r="J72" s="206" t="str">
        <f>IF(B72="","",IF(K72="nur eine Option zur Altersversorg. möglich","FEHLER",SUM(B72,C72,D72,F72,H72,I72,12*'PK AN-Brutto kA'!M39)))</f>
        <v/>
      </c>
      <c r="K72" s="207" t="str">
        <f t="shared" si="12"/>
        <v/>
      </c>
    </row>
    <row r="73" spans="1:18" x14ac:dyDescent="0.3">
      <c r="A73" s="41" t="str">
        <f>IF('PK AN-Brutto kA'!A40=0,"",'PK AN-Brutto kA'!A40)</f>
        <v>Auszubildende</v>
      </c>
      <c r="B73" s="40" t="str">
        <f>IF('PK AN-Brutto kA'!V40="","",'PK AN-Brutto kA'!V40-12*'PK AN-Brutto kA'!M40)</f>
        <v/>
      </c>
      <c r="C73" s="179"/>
      <c r="D73" s="40" t="str">
        <f t="shared" si="17"/>
        <v/>
      </c>
      <c r="E73" s="205" t="str">
        <f>IF(B73="","",IF($M$24=0,"",('PK AN-Brutto kA'!W40*$M$24+IF('PK AN-Brutto kA'!W40*$M$24&gt;=$M$25+$M$26,$M$26,IF('PK AN-Brutto kA'!W40*$M$24-$M$25&lt;=0,0,'PK AN-Brutto kA'!W40*$M$24-$M$25))*$M$31+IF('PK AN-Brutto kA'!W40*$M$24&gt;=$M$25+$M$26,$M$26,IF('PK AN-Brutto kA'!W40*$M$24-$M$25&lt;=0,0,'PK AN-Brutto kA'!W40*$M$24-$M$25))*$M$31*$M$32+IF('PK AN-Brutto kA'!W40*$M$24&gt;=$M$25+$M$26,$M$26,IF('PK AN-Brutto kA'!W40*$M$24-$M$25&lt;=0,0,'PK AN-Brutto kA'!W40*$M$24-$M$25))*$M$31*$M$33+IF('PK AN-Brutto kA'!W40*$M$24&gt;=$M$27,('PK AN-Brutto kA'!W40*$M$24-$M$27+$M$27/$M$24*$M$28-$M$29)*$M$16,('PK AN-Brutto kA'!W40*$M$24/$M$24*$M$28-$M$29)*$M$16)+'PK AN-Brutto kA'!W40*$M$34)/'PK AN-Brutto kA'!W40))</f>
        <v/>
      </c>
      <c r="F73" s="40" t="str">
        <f t="shared" si="15"/>
        <v/>
      </c>
      <c r="G73" s="301"/>
      <c r="H73" s="206" t="str">
        <f t="shared" si="16"/>
        <v/>
      </c>
      <c r="I73" s="302"/>
      <c r="J73" s="206" t="str">
        <f>IF(B73="","",IF(K73="nur eine Option zur Altersversorg. möglich","FEHLER",SUM(B73,C73,D73,F73,H73,I73,12*'PK AN-Brutto kA'!M40)))</f>
        <v/>
      </c>
      <c r="K73" s="207"/>
    </row>
    <row r="74" spans="1:18" x14ac:dyDescent="0.3">
      <c r="A74" s="41" t="str">
        <f>IF('PK AN-Brutto kA'!A41=0,"",'PK AN-Brutto kA'!A41)</f>
        <v>Studierende</v>
      </c>
      <c r="B74" s="40" t="str">
        <f>IF('PK AN-Brutto kA'!V41="","",'PK AN-Brutto kA'!V41-12*'PK AN-Brutto kA'!M41)</f>
        <v/>
      </c>
      <c r="C74" s="179"/>
      <c r="D74" s="40" t="str">
        <f t="shared" si="17"/>
        <v/>
      </c>
      <c r="E74" s="205" t="str">
        <f>IF(B74="","",IF($M$24=0,"",('PK AN-Brutto kA'!W41*$M$24+IF('PK AN-Brutto kA'!W41*$M$24&gt;=$M$25+$M$26,$M$26,IF('PK AN-Brutto kA'!W41*$M$24-$M$25&lt;=0,0,'PK AN-Brutto kA'!W41*$M$24-$M$25))*$M$31+IF('PK AN-Brutto kA'!W41*$M$24&gt;=$M$25+$M$26,$M$26,IF('PK AN-Brutto kA'!W41*$M$24-$M$25&lt;=0,0,'PK AN-Brutto kA'!W41*$M$24-$M$25))*$M$31*$M$32+IF('PK AN-Brutto kA'!W41*$M$24&gt;=$M$25+$M$26,$M$26,IF('PK AN-Brutto kA'!W41*$M$24-$M$25&lt;=0,0,'PK AN-Brutto kA'!W41*$M$24-$M$25))*$M$31*$M$33+IF('PK AN-Brutto kA'!W41*$M$24&gt;=$M$27,('PK AN-Brutto kA'!W41*$M$24-$M$27+$M$27/$M$24*$M$28-$M$29)*$M$16,('PK AN-Brutto kA'!W41*$M$24/$M$24*$M$28-$M$29)*$M$16)+'PK AN-Brutto kA'!W41*$M$34)/'PK AN-Brutto kA'!W41))</f>
        <v/>
      </c>
      <c r="F74" s="40" t="str">
        <f t="shared" si="15"/>
        <v/>
      </c>
      <c r="G74" s="301"/>
      <c r="H74" s="206" t="str">
        <f t="shared" si="16"/>
        <v/>
      </c>
      <c r="I74" s="302"/>
      <c r="J74" s="206" t="str">
        <f>IF(B74="","",IF(K74="nur eine Option zur Altersversorg. möglich","FEHLER",SUM(B74,C74,D74,F74,H74,I74,12*'PK AN-Brutto kA'!M41)))</f>
        <v/>
      </c>
      <c r="K74" s="207"/>
    </row>
    <row r="75" spans="1:18" x14ac:dyDescent="0.3">
      <c r="A75" s="41" t="str">
        <f>IF('PK AN-Brutto kA'!A42=0,"",'PK AN-Brutto kA'!A42)</f>
        <v>Praktikant:innen</v>
      </c>
      <c r="B75" s="40" t="str">
        <f>IF('PK AN-Brutto kA'!V42="","",'PK AN-Brutto kA'!V42-12*'PK AN-Brutto kA'!M42)</f>
        <v/>
      </c>
      <c r="C75" s="179"/>
      <c r="D75" s="179"/>
      <c r="E75" s="205" t="str">
        <f>IF(B75="","",IF($M$24=0,"",('PK AN-Brutto kA'!W42*$M$24+IF('PK AN-Brutto kA'!W42*$M$24&gt;=$M$25+$M$26,$M$26,IF('PK AN-Brutto kA'!W42*$M$24-$M$25&lt;=0,0,'PK AN-Brutto kA'!W42*$M$24-$M$25))*$M$31+IF('PK AN-Brutto kA'!W42*$M$24&gt;=$M$25+$M$26,$M$26,IF('PK AN-Brutto kA'!W42*$M$24-$M$25&lt;=0,0,'PK AN-Brutto kA'!W42*$M$24-$M$25))*$M$31*$M$32+IF('PK AN-Brutto kA'!W42*$M$24&gt;=$M$25+$M$26,$M$26,IF('PK AN-Brutto kA'!W42*$M$24-$M$25&lt;=0,0,'PK AN-Brutto kA'!W42*$M$24-$M$25))*$M$31*$M$33+IF('PK AN-Brutto kA'!W42*$M$24&gt;=$M$27,('PK AN-Brutto kA'!W42*$M$24-$M$27+$M$27/$M$24*$M$28-$M$29)*$M$16,('PK AN-Brutto kA'!W42*$M$24/$M$24*$M$28-$M$29)*$M$16)+'PK AN-Brutto kA'!W42*$M$34)/'PK AN-Brutto kA'!W42))</f>
        <v/>
      </c>
      <c r="F75" s="40" t="str">
        <f t="shared" si="15"/>
        <v/>
      </c>
      <c r="G75" s="301"/>
      <c r="H75" s="206" t="str">
        <f t="shared" si="16"/>
        <v/>
      </c>
      <c r="I75" s="302"/>
      <c r="J75" s="206" t="str">
        <f>IF(B75="","",IF(K75="nur eine Option zur Altersversorg. möglich","FEHLER",SUM(B75,C75,D75,F75,H75,I75,12*'PK AN-Brutto kA'!M42)))</f>
        <v/>
      </c>
      <c r="K75" s="207" t="str">
        <f t="shared" si="12"/>
        <v/>
      </c>
    </row>
    <row r="76" spans="1:18" x14ac:dyDescent="0.3">
      <c r="A76" s="41" t="str">
        <f>IF('PK AN-Brutto kA'!A43=0,"",'PK AN-Brutto kA'!A43)</f>
        <v>MiniJob</v>
      </c>
      <c r="B76" s="40" t="str">
        <f>IF('PK AN-Brutto kA'!V43="","",'PK AN-Brutto kA'!V43-12*'PK AN-Brutto kA'!M43)</f>
        <v/>
      </c>
      <c r="C76" s="40" t="str">
        <f>IF(B76="","",B76*$C$4)</f>
        <v/>
      </c>
      <c r="D76" s="179"/>
      <c r="E76" s="205" t="str">
        <f>IF(B76="","",IF($M$24=0,"",('PK AN-Brutto kA'!W43*$M$24+IF('PK AN-Brutto kA'!W43*$M$24&gt;=$M$25+$M$26,$M$26,IF('PK AN-Brutto kA'!W43*$M$24-$M$25&lt;=0,0,'PK AN-Brutto kA'!W43*$M$24-$M$25))*$M$31+IF('PK AN-Brutto kA'!W43*$M$24&gt;=$M$25+$M$26,$M$26,IF('PK AN-Brutto kA'!W43*$M$24-$M$25&lt;=0,0,'PK AN-Brutto kA'!W43*$M$24-$M$25))*$M$31*$M$32+IF('PK AN-Brutto kA'!W43*$M$24&gt;=$M$25+$M$26,$M$26,IF('PK AN-Brutto kA'!W43*$M$24-$M$25&lt;=0,0,'PK AN-Brutto kA'!W43*$M$24-$M$25))*$M$31*$M$33+IF('PK AN-Brutto kA'!W43*$M$24&gt;=$M$27,('PK AN-Brutto kA'!W43*$M$24-$M$27+$M$27/$M$24*$M$28-$M$29)*$M$16,('PK AN-Brutto kA'!W43*$M$24/$M$24*$M$28-$M$29)*$M$16)+'PK AN-Brutto kA'!W43*$M$34)/'PK AN-Brutto kA'!W43))</f>
        <v/>
      </c>
      <c r="F76" s="40" t="str">
        <f t="shared" si="15"/>
        <v/>
      </c>
      <c r="G76" s="301"/>
      <c r="H76" s="206" t="str">
        <f t="shared" si="16"/>
        <v/>
      </c>
      <c r="I76" s="302"/>
      <c r="J76" s="206" t="str">
        <f>IF(B76="","",IF(K76="nur eine Option zur Altersversorg. möglich","FEHLER",SUM(B76,C76,D76,F76,H76,I76,12*'PK AN-Brutto kA'!M43)))</f>
        <v/>
      </c>
      <c r="K76" s="207" t="str">
        <f t="shared" si="12"/>
        <v/>
      </c>
    </row>
    <row r="77" spans="1:18" x14ac:dyDescent="0.3">
      <c r="A77" s="41" t="str">
        <f>IF('PK AN-Brutto kA'!A44=0,"",'PK AN-Brutto kA'!A44)</f>
        <v>FSJ / BFD</v>
      </c>
      <c r="B77" s="40" t="str">
        <f>IF('PK AN-Brutto kA'!V44="","",'PK AN-Brutto kA'!V44-12*'PK AN-Brutto kA'!M44)</f>
        <v/>
      </c>
      <c r="C77" s="179"/>
      <c r="D77" s="179"/>
      <c r="E77" s="205" t="str">
        <f>IF(B77="","",IF($M$24=0,"",('PK AN-Brutto kA'!W44*$M$24+IF('PK AN-Brutto kA'!W44*$M$24&gt;=$M$25+$M$26,$M$26,IF('PK AN-Brutto kA'!W44*$M$24-$M$25&lt;=0,0,'PK AN-Brutto kA'!W44*$M$24-$M$25))*$M$31+IF('PK AN-Brutto kA'!W44*$M$24&gt;=$M$25+$M$26,$M$26,IF('PK AN-Brutto kA'!W44*$M$24-$M$25&lt;=0,0,'PK AN-Brutto kA'!W44*$M$24-$M$25))*$M$31*$M$32+IF('PK AN-Brutto kA'!W44*$M$24&gt;=$M$25+$M$26,$M$26,IF('PK AN-Brutto kA'!W44*$M$24-$M$25&lt;=0,0,'PK AN-Brutto kA'!W44*$M$24-$M$25))*$M$31*$M$33+IF('PK AN-Brutto kA'!W44*$M$24&gt;=$M$27,('PK AN-Brutto kA'!W44*$M$24-$M$27+$M$27/$M$24*$M$28-$M$29)*$M$16,('PK AN-Brutto kA'!W44*$M$24/$M$24*$M$28-$M$29)*$M$16)+'PK AN-Brutto kA'!W44*$M$34)/'PK AN-Brutto kA'!W44))</f>
        <v/>
      </c>
      <c r="F77" s="40" t="str">
        <f t="shared" si="15"/>
        <v/>
      </c>
      <c r="G77" s="301"/>
      <c r="H77" s="206" t="str">
        <f t="shared" si="16"/>
        <v/>
      </c>
      <c r="I77" s="302"/>
      <c r="J77" s="206" t="str">
        <f>IF(B77="","",IF(K77="nur eine Option zur Altersversorg. möglich","FEHLER",SUM(B77,C77,D77,F77,H77,I77,12*'PK AN-Brutto kA'!M44)))</f>
        <v/>
      </c>
      <c r="K77" s="207" t="str">
        <f t="shared" si="12"/>
        <v/>
      </c>
    </row>
    <row r="78" spans="1:18" x14ac:dyDescent="0.3">
      <c r="A78" s="30"/>
      <c r="B78" s="213"/>
      <c r="C78" s="213"/>
      <c r="D78" s="35"/>
      <c r="E78" s="35"/>
      <c r="F78" s="35"/>
      <c r="G78" s="35"/>
      <c r="H78" s="35"/>
      <c r="I78" s="35"/>
      <c r="J78" s="35"/>
      <c r="K78" s="210"/>
    </row>
    <row r="79" spans="1:18" x14ac:dyDescent="0.3">
      <c r="A79" s="37" t="s">
        <v>43</v>
      </c>
      <c r="B79" s="35"/>
      <c r="C79" s="35"/>
      <c r="D79" s="35"/>
      <c r="E79" s="35"/>
      <c r="F79" s="35"/>
      <c r="G79" s="35"/>
      <c r="H79" s="35"/>
      <c r="I79" s="35"/>
      <c r="J79" s="35"/>
      <c r="K79" s="30"/>
      <c r="L79" s="1"/>
      <c r="M79" s="1" t="s">
        <v>179</v>
      </c>
      <c r="N79" s="1"/>
      <c r="O79" s="1"/>
      <c r="P79" s="1"/>
      <c r="Q79" s="1"/>
      <c r="R79" s="1"/>
    </row>
    <row r="80" spans="1:18" x14ac:dyDescent="0.3">
      <c r="A80" s="41" t="str">
        <f>IF('PK Zusammenfassung'!A89=0,"",'PK Zusammenfassung'!A89)</f>
        <v/>
      </c>
      <c r="B80" s="40" t="str">
        <f>'PK AN-Brutto qA'!W46</f>
        <v/>
      </c>
      <c r="C80" s="179"/>
      <c r="D80" s="204" t="str">
        <f t="shared" ref="D80:D89" si="18">IF(B80="","",ROUND($B80*D$4,2))</f>
        <v/>
      </c>
      <c r="E80" s="205" t="str">
        <f>IF(M80="Nein",0,IF(B80="","",IF($M$24=0,"",('PK AN-Brutto qA'!X46*$M$24+IF('PK AN-Brutto qA'!X46*$M$24&gt;=$M$25+$M$26,$M$26,IF('PK AN-Brutto qA'!X46*$M$24-$M$25&lt;=0,0,'PK AN-Brutto qA'!X46*$M$24-$M$25))*$M$31+IF('PK AN-Brutto qA'!X46*$M$24&gt;=$M$25+$M$26,$M$26,IF('PK AN-Brutto qA'!X46*$M$24-$M$25&lt;=0,0,'PK AN-Brutto qA'!X46*$M$24-$M$25))*$M$31*$M$32+IF('PK AN-Brutto qA'!X46*$M$24&gt;=$M$25+$M$26,$M$26,IF('PK AN-Brutto qA'!X46*$M$24-$M$25&lt;=0,0,'PK AN-Brutto qA'!X46*$M$24-$M$25))*$M$31*$M$33+IF('PK AN-Brutto qA'!X46*$M$24&gt;=$M$27,('PK AN-Brutto qA'!X46*$M$24-$M$27+$M$27/$M$24*$M$28-$M$29)*$M$16,('PK AN-Brutto qA'!X46*$M$24/$M$24*$M$28-$M$29)*$M$16)+'PK AN-Brutto qA'!X46*$M$34)/'PK AN-Brutto qA'!X46)))</f>
        <v/>
      </c>
      <c r="F80" s="40" t="str">
        <f t="shared" ref="F80:F90" si="19">IF(OR(E80=0,E80=""),"",ROUND(B80*E80,2))</f>
        <v/>
      </c>
      <c r="G80" s="221"/>
      <c r="H80" s="206" t="str">
        <f t="shared" ref="H80:H90" si="20">IF(G80&gt;0,ROUND(B80*G80,2),"")</f>
        <v/>
      </c>
      <c r="I80" s="53"/>
      <c r="J80" s="206" t="str">
        <f t="shared" ref="J80:J90" si="21">IF(B80="","",IF(K80="nur eine Option zur Altersversorg. möglich","FEHLER",SUM(B80,C80,D80,F80,H80,I80)))</f>
        <v/>
      </c>
      <c r="K80" s="207" t="str">
        <f t="shared" ref="K80:K90" si="22">IF(COUNT(F80,G80,I80)&gt;1,"nur eine Option zur Altersversorg. möglich","")</f>
        <v/>
      </c>
      <c r="L80" s="1"/>
      <c r="M80" s="384" t="s">
        <v>181</v>
      </c>
      <c r="N80" s="1"/>
      <c r="O80" s="1"/>
      <c r="P80" s="1"/>
      <c r="Q80" s="1"/>
      <c r="R80" s="1"/>
    </row>
    <row r="81" spans="1:18" x14ac:dyDescent="0.3">
      <c r="A81" s="41" t="str">
        <f>IF('PK Zusammenfassung'!A90=0,"",'PK Zusammenfassung'!A90)</f>
        <v/>
      </c>
      <c r="B81" s="40" t="str">
        <f>'PK AN-Brutto qA'!W47</f>
        <v/>
      </c>
      <c r="C81" s="179"/>
      <c r="D81" s="204" t="str">
        <f t="shared" si="18"/>
        <v/>
      </c>
      <c r="E81" s="205" t="str">
        <f>IF(M81="Nein",0,IF(B81="","",IF($M$24=0,"",('PK AN-Brutto qA'!X47*$M$24+IF('PK AN-Brutto qA'!X47*$M$24&gt;=$M$25+$M$26,$M$26,IF('PK AN-Brutto qA'!X47*$M$24-$M$25&lt;=0,0,'PK AN-Brutto qA'!X47*$M$24-$M$25))*$M$31+IF('PK AN-Brutto qA'!X47*$M$24&gt;=$M$25+$M$26,$M$26,IF('PK AN-Brutto qA'!X47*$M$24-$M$25&lt;=0,0,'PK AN-Brutto qA'!X47*$M$24-$M$25))*$M$31*$M$32+IF('PK AN-Brutto qA'!X47*$M$24&gt;=$M$25+$M$26,$M$26,IF('PK AN-Brutto qA'!X47*$M$24-$M$25&lt;=0,0,'PK AN-Brutto qA'!X47*$M$24-$M$25))*$M$31*$M$33+IF('PK AN-Brutto qA'!X47*$M$24&gt;=$M$27,('PK AN-Brutto qA'!X47*$M$24-$M$27+$M$27/$M$24*$M$28-$M$29)*$M$16,('PK AN-Brutto qA'!X47*$M$24/$M$24*$M$28-$M$29)*$M$16)+'PK AN-Brutto qA'!X47*$M$34)/'PK AN-Brutto qA'!X47)))</f>
        <v/>
      </c>
      <c r="F81" s="40" t="str">
        <f t="shared" si="19"/>
        <v/>
      </c>
      <c r="G81" s="221"/>
      <c r="H81" s="206" t="str">
        <f t="shared" si="20"/>
        <v/>
      </c>
      <c r="I81" s="53"/>
      <c r="J81" s="206" t="str">
        <f t="shared" si="21"/>
        <v/>
      </c>
      <c r="K81" s="207" t="str">
        <f t="shared" si="22"/>
        <v/>
      </c>
      <c r="L81" s="1"/>
      <c r="M81" s="384" t="s">
        <v>181</v>
      </c>
      <c r="N81" s="1"/>
      <c r="O81" s="1"/>
      <c r="P81" s="1"/>
      <c r="Q81" s="1"/>
      <c r="R81" s="1"/>
    </row>
    <row r="82" spans="1:18" x14ac:dyDescent="0.3">
      <c r="A82" s="41" t="str">
        <f>IF('PK Zusammenfassung'!A91=0,"",'PK Zusammenfassung'!A91)</f>
        <v/>
      </c>
      <c r="B82" s="40" t="str">
        <f>'PK AN-Brutto qA'!W48</f>
        <v/>
      </c>
      <c r="C82" s="179"/>
      <c r="D82" s="204" t="str">
        <f t="shared" si="18"/>
        <v/>
      </c>
      <c r="E82" s="205" t="str">
        <f>IF(M82="Nein",0,IF(B82="","",IF($M$24=0,"",('PK AN-Brutto qA'!X48*$M$24+IF('PK AN-Brutto qA'!X48*$M$24&gt;=$M$25+$M$26,$M$26,IF('PK AN-Brutto qA'!X48*$M$24-$M$25&lt;=0,0,'PK AN-Brutto qA'!X48*$M$24-$M$25))*$M$31+IF('PK AN-Brutto qA'!X48*$M$24&gt;=$M$25+$M$26,$M$26,IF('PK AN-Brutto qA'!X48*$M$24-$M$25&lt;=0,0,'PK AN-Brutto qA'!X48*$M$24-$M$25))*$M$31*$M$32+IF('PK AN-Brutto qA'!X48*$M$24&gt;=$M$25+$M$26,$M$26,IF('PK AN-Brutto qA'!X48*$M$24-$M$25&lt;=0,0,'PK AN-Brutto qA'!X48*$M$24-$M$25))*$M$31*$M$33+IF('PK AN-Brutto qA'!X48*$M$24&gt;=$M$27,('PK AN-Brutto qA'!X48*$M$24-$M$27+$M$27/$M$24*$M$28-$M$29)*$M$16,('PK AN-Brutto qA'!X48*$M$24/$M$24*$M$28-$M$29)*$M$16)+'PK AN-Brutto qA'!X48*$M$34)/'PK AN-Brutto qA'!X48)))</f>
        <v/>
      </c>
      <c r="F82" s="40" t="str">
        <f t="shared" si="19"/>
        <v/>
      </c>
      <c r="G82" s="221"/>
      <c r="H82" s="206" t="str">
        <f t="shared" si="20"/>
        <v/>
      </c>
      <c r="I82" s="53"/>
      <c r="J82" s="206" t="str">
        <f t="shared" si="21"/>
        <v/>
      </c>
      <c r="K82" s="207" t="str">
        <f t="shared" si="22"/>
        <v/>
      </c>
      <c r="L82" s="1"/>
      <c r="M82" s="384" t="s">
        <v>181</v>
      </c>
      <c r="N82" s="1"/>
      <c r="O82" s="1"/>
      <c r="P82" s="1"/>
      <c r="Q82" s="1"/>
      <c r="R82" s="1"/>
    </row>
    <row r="83" spans="1:18" x14ac:dyDescent="0.3">
      <c r="A83" s="41" t="str">
        <f>IF('PK Zusammenfassung'!A92=0,"",'PK Zusammenfassung'!A92)</f>
        <v/>
      </c>
      <c r="B83" s="40" t="str">
        <f>'PK AN-Brutto qA'!W49</f>
        <v/>
      </c>
      <c r="C83" s="179"/>
      <c r="D83" s="204" t="str">
        <f t="shared" si="18"/>
        <v/>
      </c>
      <c r="E83" s="205" t="str">
        <f>IF(M83="Nein",0,IF(B83="","",IF($M$24=0,"",('PK AN-Brutto qA'!X49*$M$24+IF('PK AN-Brutto qA'!X49*$M$24&gt;=$M$25+$M$26,$M$26,IF('PK AN-Brutto qA'!X49*$M$24-$M$25&lt;=0,0,'PK AN-Brutto qA'!X49*$M$24-$M$25))*$M$31+IF('PK AN-Brutto qA'!X49*$M$24&gt;=$M$25+$M$26,$M$26,IF('PK AN-Brutto qA'!X49*$M$24-$M$25&lt;=0,0,'PK AN-Brutto qA'!X49*$M$24-$M$25))*$M$31*$M$32+IF('PK AN-Brutto qA'!X49*$M$24&gt;=$M$25+$M$26,$M$26,IF('PK AN-Brutto qA'!X49*$M$24-$M$25&lt;=0,0,'PK AN-Brutto qA'!X49*$M$24-$M$25))*$M$31*$M$33+IF('PK AN-Brutto qA'!X49*$M$24&gt;=$M$27,('PK AN-Brutto qA'!X49*$M$24-$M$27+$M$27/$M$24*$M$28-$M$29)*$M$16,('PK AN-Brutto qA'!X49*$M$24/$M$24*$M$28-$M$29)*$M$16)+'PK AN-Brutto qA'!X49*$M$34)/'PK AN-Brutto qA'!X49)))</f>
        <v/>
      </c>
      <c r="F83" s="40" t="str">
        <f t="shared" si="19"/>
        <v/>
      </c>
      <c r="G83" s="221"/>
      <c r="H83" s="206" t="str">
        <f t="shared" si="20"/>
        <v/>
      </c>
      <c r="I83" s="53"/>
      <c r="J83" s="206" t="str">
        <f t="shared" si="21"/>
        <v/>
      </c>
      <c r="K83" s="207" t="str">
        <f t="shared" si="22"/>
        <v/>
      </c>
      <c r="L83" s="1"/>
      <c r="M83" s="384" t="s">
        <v>181</v>
      </c>
      <c r="N83" s="1"/>
      <c r="O83" s="1"/>
      <c r="P83" s="1"/>
      <c r="Q83" s="1"/>
      <c r="R83" s="1"/>
    </row>
    <row r="84" spans="1:18" x14ac:dyDescent="0.3">
      <c r="A84" s="41" t="str">
        <f>IF('PK Zusammenfassung'!A93=0,"",'PK Zusammenfassung'!A93)</f>
        <v/>
      </c>
      <c r="B84" s="40" t="str">
        <f>'PK AN-Brutto qA'!W50</f>
        <v/>
      </c>
      <c r="C84" s="179"/>
      <c r="D84" s="204" t="str">
        <f t="shared" si="18"/>
        <v/>
      </c>
      <c r="E84" s="205" t="str">
        <f>IF(M84="Nein",0,IF(B84="","",IF($M$24=0,"",('PK AN-Brutto qA'!X50*$M$24+IF('PK AN-Brutto qA'!X50*$M$24&gt;=$M$25+$M$26,$M$26,IF('PK AN-Brutto qA'!X50*$M$24-$M$25&lt;=0,0,'PK AN-Brutto qA'!X50*$M$24-$M$25))*$M$31+IF('PK AN-Brutto qA'!X50*$M$24&gt;=$M$25+$M$26,$M$26,IF('PK AN-Brutto qA'!X50*$M$24-$M$25&lt;=0,0,'PK AN-Brutto qA'!X50*$M$24-$M$25))*$M$31*$M$32+IF('PK AN-Brutto qA'!X50*$M$24&gt;=$M$25+$M$26,$M$26,IF('PK AN-Brutto qA'!X50*$M$24-$M$25&lt;=0,0,'PK AN-Brutto qA'!X50*$M$24-$M$25))*$M$31*$M$33+IF('PK AN-Brutto qA'!X50*$M$24&gt;=$M$27,('PK AN-Brutto qA'!X50*$M$24-$M$27+$M$27/$M$24*$M$28-$M$29)*$M$16,('PK AN-Brutto qA'!X50*$M$24/$M$24*$M$28-$M$29)*$M$16)+'PK AN-Brutto qA'!X50*$M$34)/'PK AN-Brutto qA'!X50)))</f>
        <v/>
      </c>
      <c r="F84" s="40" t="str">
        <f t="shared" si="19"/>
        <v/>
      </c>
      <c r="G84" s="221"/>
      <c r="H84" s="206" t="str">
        <f t="shared" si="20"/>
        <v/>
      </c>
      <c r="I84" s="53"/>
      <c r="J84" s="206" t="str">
        <f t="shared" si="21"/>
        <v/>
      </c>
      <c r="K84" s="207" t="str">
        <f t="shared" si="22"/>
        <v/>
      </c>
      <c r="L84" s="1"/>
      <c r="M84" s="384" t="s">
        <v>181</v>
      </c>
      <c r="N84" s="1"/>
      <c r="O84" s="1"/>
      <c r="P84" s="1"/>
      <c r="Q84" s="1"/>
      <c r="R84" s="1"/>
    </row>
    <row r="85" spans="1:18" x14ac:dyDescent="0.3">
      <c r="A85" s="41" t="str">
        <f>IF('PK Zusammenfassung'!A94=0,"",'PK Zusammenfassung'!A94)</f>
        <v/>
      </c>
      <c r="B85" s="40" t="str">
        <f>'PK AN-Brutto qA'!W51</f>
        <v/>
      </c>
      <c r="C85" s="179"/>
      <c r="D85" s="204" t="str">
        <f t="shared" si="18"/>
        <v/>
      </c>
      <c r="E85" s="205" t="str">
        <f>IF(M85="Nein",0,IF(B85="","",IF($M$24=0,"",('PK AN-Brutto qA'!X51*$M$24+IF('PK AN-Brutto qA'!X51*$M$24&gt;=$M$25+$M$26,$M$26,IF('PK AN-Brutto qA'!X51*$M$24-$M$25&lt;=0,0,'PK AN-Brutto qA'!X51*$M$24-$M$25))*$M$31+IF('PK AN-Brutto qA'!X51*$M$24&gt;=$M$25+$M$26,$M$26,IF('PK AN-Brutto qA'!X51*$M$24-$M$25&lt;=0,0,'PK AN-Brutto qA'!X51*$M$24-$M$25))*$M$31*$M$32+IF('PK AN-Brutto qA'!X51*$M$24&gt;=$M$25+$M$26,$M$26,IF('PK AN-Brutto qA'!X51*$M$24-$M$25&lt;=0,0,'PK AN-Brutto qA'!X51*$M$24-$M$25))*$M$31*$M$33+IF('PK AN-Brutto qA'!X51*$M$24&gt;=$M$27,('PK AN-Brutto qA'!X51*$M$24-$M$27+$M$27/$M$24*$M$28-$M$29)*$M$16,('PK AN-Brutto qA'!X51*$M$24/$M$24*$M$28-$M$29)*$M$16)+'PK AN-Brutto qA'!X51*$M$34)/'PK AN-Brutto qA'!X51)))</f>
        <v/>
      </c>
      <c r="F85" s="40" t="str">
        <f t="shared" si="19"/>
        <v/>
      </c>
      <c r="G85" s="221"/>
      <c r="H85" s="206" t="str">
        <f t="shared" si="20"/>
        <v/>
      </c>
      <c r="I85" s="53"/>
      <c r="J85" s="206" t="str">
        <f t="shared" si="21"/>
        <v/>
      </c>
      <c r="K85" s="207" t="str">
        <f t="shared" si="22"/>
        <v/>
      </c>
      <c r="L85" s="1"/>
      <c r="M85" s="384" t="s">
        <v>181</v>
      </c>
      <c r="N85" s="1"/>
      <c r="O85" s="1"/>
      <c r="P85" s="1"/>
      <c r="Q85" s="1"/>
      <c r="R85" s="1"/>
    </row>
    <row r="86" spans="1:18" x14ac:dyDescent="0.3">
      <c r="A86" s="41" t="str">
        <f>IF('PK Zusammenfassung'!A95=0,"",'PK Zusammenfassung'!A95)</f>
        <v/>
      </c>
      <c r="B86" s="40" t="str">
        <f>'PK AN-Brutto qA'!W52</f>
        <v/>
      </c>
      <c r="C86" s="179"/>
      <c r="D86" s="204" t="str">
        <f t="shared" si="18"/>
        <v/>
      </c>
      <c r="E86" s="205" t="str">
        <f>IF(M86="Nein",0,IF(B86="","",IF($M$24=0,"",('PK AN-Brutto qA'!X52*$M$24+IF('PK AN-Brutto qA'!X52*$M$24&gt;=$M$25+$M$26,$M$26,IF('PK AN-Brutto qA'!X52*$M$24-$M$25&lt;=0,0,'PK AN-Brutto qA'!X52*$M$24-$M$25))*$M$31+IF('PK AN-Brutto qA'!X52*$M$24&gt;=$M$25+$M$26,$M$26,IF('PK AN-Brutto qA'!X52*$M$24-$M$25&lt;=0,0,'PK AN-Brutto qA'!X52*$M$24-$M$25))*$M$31*$M$32+IF('PK AN-Brutto qA'!X52*$M$24&gt;=$M$25+$M$26,$M$26,IF('PK AN-Brutto qA'!X52*$M$24-$M$25&lt;=0,0,'PK AN-Brutto qA'!X52*$M$24-$M$25))*$M$31*$M$33+IF('PK AN-Brutto qA'!X52*$M$24&gt;=$M$27,('PK AN-Brutto qA'!X52*$M$24-$M$27+$M$27/$M$24*$M$28-$M$29)*$M$16,('PK AN-Brutto qA'!X52*$M$24/$M$24*$M$28-$M$29)*$M$16)+'PK AN-Brutto qA'!X52*$M$34)/'PK AN-Brutto qA'!X52)))</f>
        <v/>
      </c>
      <c r="F86" s="40" t="str">
        <f t="shared" si="19"/>
        <v/>
      </c>
      <c r="G86" s="221"/>
      <c r="H86" s="206" t="str">
        <f t="shared" si="20"/>
        <v/>
      </c>
      <c r="I86" s="53"/>
      <c r="J86" s="206" t="str">
        <f t="shared" si="21"/>
        <v/>
      </c>
      <c r="K86" s="207" t="str">
        <f t="shared" si="22"/>
        <v/>
      </c>
      <c r="L86" s="1"/>
      <c r="M86" s="384" t="s">
        <v>181</v>
      </c>
      <c r="N86" s="1"/>
      <c r="O86" s="1"/>
      <c r="P86" s="1"/>
      <c r="Q86" s="1"/>
      <c r="R86" s="1"/>
    </row>
    <row r="87" spans="1:18" x14ac:dyDescent="0.3">
      <c r="A87" s="41" t="str">
        <f>IF('PK Zusammenfassung'!A96=0,"",'PK Zusammenfassung'!A96)</f>
        <v/>
      </c>
      <c r="B87" s="40" t="str">
        <f>'PK AN-Brutto qA'!W53</f>
        <v/>
      </c>
      <c r="C87" s="179"/>
      <c r="D87" s="204" t="str">
        <f t="shared" si="18"/>
        <v/>
      </c>
      <c r="E87" s="205" t="str">
        <f>IF(M87="Nein",0,IF(B87="","",IF($M$24=0,"",('PK AN-Brutto qA'!X53*$M$24+IF('PK AN-Brutto qA'!X53*$M$24&gt;=$M$25+$M$26,$M$26,IF('PK AN-Brutto qA'!X53*$M$24-$M$25&lt;=0,0,'PK AN-Brutto qA'!X53*$M$24-$M$25))*$M$31+IF('PK AN-Brutto qA'!X53*$M$24&gt;=$M$25+$M$26,$M$26,IF('PK AN-Brutto qA'!X53*$M$24-$M$25&lt;=0,0,'PK AN-Brutto qA'!X53*$M$24-$M$25))*$M$31*$M$32+IF('PK AN-Brutto qA'!X53*$M$24&gt;=$M$25+$M$26,$M$26,IF('PK AN-Brutto qA'!X53*$M$24-$M$25&lt;=0,0,'PK AN-Brutto qA'!X53*$M$24-$M$25))*$M$31*$M$33+IF('PK AN-Brutto qA'!X53*$M$24&gt;=$M$27,('PK AN-Brutto qA'!X53*$M$24-$M$27+$M$27/$M$24*$M$28-$M$29)*$M$16,('PK AN-Brutto qA'!X53*$M$24/$M$24*$M$28-$M$29)*$M$16)+'PK AN-Brutto qA'!X53*$M$34)/'PK AN-Brutto qA'!X53)))</f>
        <v/>
      </c>
      <c r="F87" s="40" t="str">
        <f t="shared" si="19"/>
        <v/>
      </c>
      <c r="G87" s="221"/>
      <c r="H87" s="206" t="str">
        <f t="shared" si="20"/>
        <v/>
      </c>
      <c r="I87" s="53"/>
      <c r="J87" s="206" t="str">
        <f t="shared" si="21"/>
        <v/>
      </c>
      <c r="K87" s="207" t="str">
        <f t="shared" si="22"/>
        <v/>
      </c>
      <c r="L87" s="1"/>
      <c r="M87" s="384" t="s">
        <v>181</v>
      </c>
      <c r="N87" s="1"/>
      <c r="O87" s="1"/>
      <c r="P87" s="1"/>
      <c r="Q87" s="1"/>
      <c r="R87" s="1"/>
    </row>
    <row r="88" spans="1:18" x14ac:dyDescent="0.3">
      <c r="A88" s="41" t="str">
        <f>IF('PK Zusammenfassung'!A97=0,"",'PK Zusammenfassung'!A97)</f>
        <v/>
      </c>
      <c r="B88" s="40" t="str">
        <f>'PK AN-Brutto qA'!W54</f>
        <v/>
      </c>
      <c r="C88" s="179"/>
      <c r="D88" s="204" t="str">
        <f t="shared" si="18"/>
        <v/>
      </c>
      <c r="E88" s="205" t="str">
        <f>IF(M88="Nein",0,IF(B88="","",IF($M$24=0,"",('PK AN-Brutto qA'!X54*$M$24+IF('PK AN-Brutto qA'!X54*$M$24&gt;=$M$25+$M$26,$M$26,IF('PK AN-Brutto qA'!X54*$M$24-$M$25&lt;=0,0,'PK AN-Brutto qA'!X54*$M$24-$M$25))*$M$31+IF('PK AN-Brutto qA'!X54*$M$24&gt;=$M$25+$M$26,$M$26,IF('PK AN-Brutto qA'!X54*$M$24-$M$25&lt;=0,0,'PK AN-Brutto qA'!X54*$M$24-$M$25))*$M$31*$M$32+IF('PK AN-Brutto qA'!X54*$M$24&gt;=$M$25+$M$26,$M$26,IF('PK AN-Brutto qA'!X54*$M$24-$M$25&lt;=0,0,'PK AN-Brutto qA'!X54*$M$24-$M$25))*$M$31*$M$33+IF('PK AN-Brutto qA'!X54*$M$24&gt;=$M$27,('PK AN-Brutto qA'!X54*$M$24-$M$27+$M$27/$M$24*$M$28-$M$29)*$M$16,('PK AN-Brutto qA'!X54*$M$24/$M$24*$M$28-$M$29)*$M$16)+'PK AN-Brutto qA'!X54*$M$34)/'PK AN-Brutto qA'!X54)))</f>
        <v/>
      </c>
      <c r="F88" s="40" t="str">
        <f t="shared" si="19"/>
        <v/>
      </c>
      <c r="G88" s="221"/>
      <c r="H88" s="206" t="str">
        <f t="shared" si="20"/>
        <v/>
      </c>
      <c r="I88" s="53"/>
      <c r="J88" s="206" t="str">
        <f t="shared" si="21"/>
        <v/>
      </c>
      <c r="K88" s="207" t="str">
        <f t="shared" si="22"/>
        <v/>
      </c>
      <c r="L88" s="1"/>
      <c r="M88" s="384" t="s">
        <v>181</v>
      </c>
      <c r="N88" s="1"/>
      <c r="O88" s="1"/>
      <c r="P88" s="1"/>
      <c r="Q88" s="1"/>
      <c r="R88" s="1"/>
    </row>
    <row r="89" spans="1:18" x14ac:dyDescent="0.3">
      <c r="A89" s="41" t="str">
        <f>IF('PK Zusammenfassung'!A98=0,"",'PK Zusammenfassung'!A98)</f>
        <v/>
      </c>
      <c r="B89" s="40" t="str">
        <f>'PK AN-Brutto qA'!W55</f>
        <v/>
      </c>
      <c r="C89" s="179"/>
      <c r="D89" s="204" t="str">
        <f t="shared" si="18"/>
        <v/>
      </c>
      <c r="E89" s="205" t="str">
        <f>IF(M89="Nein",0,IF(B89="","",IF($M$24=0,"",('PK AN-Brutto qA'!X55*$M$24+IF('PK AN-Brutto qA'!X55*$M$24&gt;=$M$25+$M$26,$M$26,IF('PK AN-Brutto qA'!X55*$M$24-$M$25&lt;=0,0,'PK AN-Brutto qA'!X55*$M$24-$M$25))*$M$31+IF('PK AN-Brutto qA'!X55*$M$24&gt;=$M$25+$M$26,$M$26,IF('PK AN-Brutto qA'!X55*$M$24-$M$25&lt;=0,0,'PK AN-Brutto qA'!X55*$M$24-$M$25))*$M$31*$M$32+IF('PK AN-Brutto qA'!X55*$M$24&gt;=$M$25+$M$26,$M$26,IF('PK AN-Brutto qA'!X55*$M$24-$M$25&lt;=0,0,'PK AN-Brutto qA'!X55*$M$24-$M$25))*$M$31*$M$33+IF('PK AN-Brutto qA'!X55*$M$24&gt;=$M$27,('PK AN-Brutto qA'!X55*$M$24-$M$27+$M$27/$M$24*$M$28-$M$29)*$M$16,('PK AN-Brutto qA'!X55*$M$24/$M$24*$M$28-$M$29)*$M$16)+'PK AN-Brutto qA'!X55*$M$34)/'PK AN-Brutto qA'!X55)))</f>
        <v/>
      </c>
      <c r="F89" s="40" t="str">
        <f t="shared" si="19"/>
        <v/>
      </c>
      <c r="G89" s="221"/>
      <c r="H89" s="206" t="str">
        <f t="shared" si="20"/>
        <v/>
      </c>
      <c r="I89" s="53"/>
      <c r="J89" s="206" t="str">
        <f t="shared" si="21"/>
        <v/>
      </c>
      <c r="K89" s="207" t="str">
        <f t="shared" si="22"/>
        <v/>
      </c>
      <c r="L89" s="1"/>
      <c r="M89" s="384" t="s">
        <v>181</v>
      </c>
      <c r="N89" s="1"/>
      <c r="O89" s="1"/>
      <c r="P89" s="1"/>
      <c r="Q89" s="1"/>
      <c r="R89" s="1"/>
    </row>
    <row r="90" spans="1:18" x14ac:dyDescent="0.3">
      <c r="A90" s="41" t="str">
        <f>IF('PK Zusammenfassung'!A99=0,"",'PK Zusammenfassung'!A99)</f>
        <v>MiniJob</v>
      </c>
      <c r="B90" s="40" t="str">
        <f>'PK AN-Brutto qA'!W56</f>
        <v/>
      </c>
      <c r="C90" s="40" t="str">
        <f>IF(B90="","",B90*$C$4)</f>
        <v/>
      </c>
      <c r="D90" s="179"/>
      <c r="E90" s="205" t="str">
        <f>IF(B90="","",IF($M$24=0,"",('PK AN-Brutto qA'!X56*$M$24+IF('PK AN-Brutto qA'!X56*$M$24&gt;=$M$25+$M$26,$M$26,IF('PK AN-Brutto qA'!X56*$M$24-$M$25&lt;=0,0,'PK AN-Brutto qA'!X56*$M$24-$M$25))*$M$31+IF('PK AN-Brutto qA'!X56*$M$24&gt;=$M$25+$M$26,$M$26,IF('PK AN-Brutto qA'!X56*$M$24-$M$25&lt;=0,0,'PK AN-Brutto qA'!X56*$M$24-$M$25))*$M$31*$M$32+IF('PK AN-Brutto qA'!X56*$M$24&gt;=$M$25+$M$26,$M$26,IF('PK AN-Brutto qA'!X56*$M$24-$M$25&lt;=0,0,'PK AN-Brutto qA'!X56*$M$24-$M$25))*$M$31*$M$33+IF('PK AN-Brutto qA'!X56*$M$24&gt;=$M$27,('PK AN-Brutto qA'!X56*$M$24-$M$27+$M$27/$M$24*$M$28-$M$29)*$M$16,('PK AN-Brutto qA'!X56*$M$24/$M$24*$M$28-$M$29)*$M$16)+'PK AN-Brutto qA'!X56*$M$34)/'PK AN-Brutto qA'!X56))</f>
        <v/>
      </c>
      <c r="F90" s="40" t="str">
        <f t="shared" si="19"/>
        <v/>
      </c>
      <c r="G90" s="221"/>
      <c r="H90" s="206" t="str">
        <f t="shared" si="20"/>
        <v/>
      </c>
      <c r="I90" s="53"/>
      <c r="J90" s="206" t="str">
        <f t="shared" si="21"/>
        <v/>
      </c>
      <c r="K90" s="207" t="str">
        <f t="shared" si="22"/>
        <v/>
      </c>
      <c r="L90" s="1"/>
      <c r="M90" s="1"/>
      <c r="N90" s="1"/>
      <c r="O90" s="1"/>
      <c r="P90" s="1"/>
      <c r="Q90" s="1"/>
      <c r="R90" s="1"/>
    </row>
    <row r="91" spans="1:18" x14ac:dyDescent="0.3">
      <c r="A91" s="30"/>
      <c r="B91" s="35"/>
      <c r="C91" s="35"/>
      <c r="D91" s="35"/>
      <c r="E91" s="35"/>
      <c r="F91" s="35"/>
      <c r="G91" s="35"/>
      <c r="H91" s="35"/>
      <c r="I91" s="35"/>
      <c r="J91" s="35"/>
      <c r="K91" s="30"/>
      <c r="L91" s="1"/>
      <c r="M91" s="1"/>
      <c r="N91" s="1"/>
      <c r="O91" s="1"/>
      <c r="P91" s="1"/>
      <c r="Q91" s="1"/>
      <c r="R91" s="1"/>
    </row>
    <row r="92" spans="1:18" x14ac:dyDescent="0.3">
      <c r="A92" s="30"/>
      <c r="B92" s="30"/>
      <c r="C92" s="30"/>
      <c r="D92" s="30"/>
      <c r="E92" s="30"/>
      <c r="F92" s="30"/>
      <c r="G92" s="30"/>
      <c r="H92" s="30"/>
      <c r="I92" s="30"/>
      <c r="J92" s="340"/>
      <c r="K92" s="30"/>
      <c r="L92" s="1"/>
      <c r="M92" s="1"/>
      <c r="N92" s="1"/>
      <c r="O92" s="1"/>
      <c r="P92" s="1"/>
      <c r="Q92" s="1"/>
      <c r="R92" s="1"/>
    </row>
  </sheetData>
  <sheetProtection algorithmName="SHA-512" hashValue="iBnTgEQEedTrVjppSdvsZgohCnD5100mUBHZnoNCVDAegRtUvu/8cwxdl4njpUguHq+/bEf7MoMcYf/ejtUQpg==" saltValue="y7pojrvfA/2Sh4LiQc5pBg==" spinCount="100000" sheet="1" objects="1" scenarios="1" formatCells="0"/>
  <mergeCells count="6">
    <mergeCell ref="O24:Q24"/>
    <mergeCell ref="A3:A4"/>
    <mergeCell ref="B3:B4"/>
    <mergeCell ref="E3:F3"/>
    <mergeCell ref="G3:I3"/>
    <mergeCell ref="J3:J4"/>
  </mergeCells>
  <dataValidations count="1">
    <dataValidation type="list" allowBlank="1" showInputMessage="1" showErrorMessage="1" sqref="M80:M89" xr:uid="{00000000-0002-0000-0600-000000000000}">
      <formula1>"Ja, Nein"</formula1>
    </dataValidation>
  </dataValidations>
  <pageMargins left="0.7" right="0.7" top="0.78740157499999996" bottom="0.78740157499999996" header="0.3" footer="0.3"/>
  <pageSetup paperSize="9" fitToWidth="2" fitToHeight="0" orientation="landscape" r:id="rId1"/>
  <headerFooter>
    <oddFooter>&amp;L&amp;"Arial,Standard"&amp;8Datum des Ausdrucks
&amp;D&amp;C&amp;"Arial,Standard"&amp;8Kalkulationsdatei Assistenzleistungen 
Rahmenvertrag 3 Version 1.0&amp;R&amp;"Arial,Standard"&amp;8PK AG_Brutto
 Seite &amp;P von &amp;N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E45"/>
  <sheetViews>
    <sheetView showGridLines="0" zoomScaleNormal="100" zoomScalePageLayoutView="98" workbookViewId="0">
      <pane ySplit="5" topLeftCell="A6" activePane="bottomLeft" state="frozen"/>
      <selection pane="bottomLeft" activeCell="B6" sqref="B6"/>
    </sheetView>
  </sheetViews>
  <sheetFormatPr baseColWidth="10" defaultColWidth="11.44140625" defaultRowHeight="13.2" x14ac:dyDescent="0.25"/>
  <cols>
    <col min="1" max="1" width="11.44140625" style="1"/>
    <col min="2" max="2" width="50.88671875" style="1" customWidth="1"/>
    <col min="3" max="3" width="13.44140625" style="1" customWidth="1"/>
    <col min="4" max="4" width="14.5546875" style="1" customWidth="1"/>
    <col min="5" max="5" width="14.109375" style="1" customWidth="1"/>
    <col min="6" max="16384" width="11.44140625" style="1"/>
  </cols>
  <sheetData>
    <row r="1" spans="1:5" x14ac:dyDescent="0.25">
      <c r="A1" s="3"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row>
    <row r="2" spans="1:5" x14ac:dyDescent="0.25">
      <c r="A2" s="3"/>
    </row>
    <row r="3" spans="1:5" x14ac:dyDescent="0.25">
      <c r="A3" s="3" t="s">
        <v>126</v>
      </c>
    </row>
    <row r="5" spans="1:5" ht="38.25" customHeight="1" x14ac:dyDescent="0.25">
      <c r="A5" s="228" t="s">
        <v>124</v>
      </c>
      <c r="B5" s="228" t="s">
        <v>125</v>
      </c>
      <c r="C5" s="228" t="s">
        <v>285</v>
      </c>
      <c r="D5" s="228" t="s">
        <v>286</v>
      </c>
      <c r="E5" s="228" t="s">
        <v>287</v>
      </c>
    </row>
    <row r="6" spans="1:5" x14ac:dyDescent="0.25">
      <c r="A6" s="132">
        <v>1</v>
      </c>
      <c r="B6" s="229"/>
      <c r="C6" s="229"/>
      <c r="D6" s="350" t="str">
        <f>Hauswirtschaftspauschale!J5</f>
        <v/>
      </c>
      <c r="E6" s="242" t="str">
        <f>Bereitschaftspauschale!S7</f>
        <v/>
      </c>
    </row>
    <row r="7" spans="1:5" x14ac:dyDescent="0.25">
      <c r="A7" s="132">
        <f t="shared" ref="A7:A45" si="0">A6+1</f>
        <v>2</v>
      </c>
      <c r="B7" s="229"/>
      <c r="C7" s="229"/>
      <c r="D7" s="350" t="str">
        <f>Hauswirtschaftspauschale!J6</f>
        <v/>
      </c>
      <c r="E7" s="242" t="str">
        <f>Bereitschaftspauschale!S8</f>
        <v/>
      </c>
    </row>
    <row r="8" spans="1:5" x14ac:dyDescent="0.25">
      <c r="A8" s="132">
        <f t="shared" si="0"/>
        <v>3</v>
      </c>
      <c r="B8" s="229"/>
      <c r="C8" s="229"/>
      <c r="D8" s="350" t="str">
        <f>Hauswirtschaftspauschale!J7</f>
        <v/>
      </c>
      <c r="E8" s="242" t="str">
        <f>Bereitschaftspauschale!S9</f>
        <v/>
      </c>
    </row>
    <row r="9" spans="1:5" x14ac:dyDescent="0.25">
      <c r="A9" s="132">
        <f t="shared" si="0"/>
        <v>4</v>
      </c>
      <c r="B9" s="229"/>
      <c r="C9" s="229"/>
      <c r="D9" s="350" t="str">
        <f>Hauswirtschaftspauschale!J8</f>
        <v/>
      </c>
      <c r="E9" s="242" t="str">
        <f>Bereitschaftspauschale!S10</f>
        <v/>
      </c>
    </row>
    <row r="10" spans="1:5" x14ac:dyDescent="0.25">
      <c r="A10" s="132">
        <f t="shared" si="0"/>
        <v>5</v>
      </c>
      <c r="B10" s="229"/>
      <c r="C10" s="229"/>
      <c r="D10" s="350" t="str">
        <f>Hauswirtschaftspauschale!J9</f>
        <v/>
      </c>
      <c r="E10" s="242" t="str">
        <f>Bereitschaftspauschale!S11</f>
        <v/>
      </c>
    </row>
    <row r="11" spans="1:5" x14ac:dyDescent="0.25">
      <c r="A11" s="132">
        <f t="shared" si="0"/>
        <v>6</v>
      </c>
      <c r="B11" s="229"/>
      <c r="C11" s="229"/>
      <c r="D11" s="350" t="str">
        <f>Hauswirtschaftspauschale!J10</f>
        <v/>
      </c>
      <c r="E11" s="242" t="str">
        <f>Bereitschaftspauschale!S12</f>
        <v/>
      </c>
    </row>
    <row r="12" spans="1:5" x14ac:dyDescent="0.25">
      <c r="A12" s="132">
        <f t="shared" si="0"/>
        <v>7</v>
      </c>
      <c r="B12" s="229"/>
      <c r="C12" s="229"/>
      <c r="D12" s="350" t="str">
        <f>Hauswirtschaftspauschale!J11</f>
        <v/>
      </c>
      <c r="E12" s="242" t="str">
        <f>Bereitschaftspauschale!S13</f>
        <v/>
      </c>
    </row>
    <row r="13" spans="1:5" x14ac:dyDescent="0.25">
      <c r="A13" s="132">
        <f t="shared" si="0"/>
        <v>8</v>
      </c>
      <c r="B13" s="229"/>
      <c r="C13" s="229"/>
      <c r="D13" s="350" t="str">
        <f>Hauswirtschaftspauschale!J12</f>
        <v/>
      </c>
      <c r="E13" s="242" t="str">
        <f>Bereitschaftspauschale!S14</f>
        <v/>
      </c>
    </row>
    <row r="14" spans="1:5" x14ac:dyDescent="0.25">
      <c r="A14" s="132">
        <f t="shared" si="0"/>
        <v>9</v>
      </c>
      <c r="B14" s="229"/>
      <c r="C14" s="229"/>
      <c r="D14" s="350" t="str">
        <f>Hauswirtschaftspauschale!J13</f>
        <v/>
      </c>
      <c r="E14" s="242" t="str">
        <f>Bereitschaftspauschale!S15</f>
        <v/>
      </c>
    </row>
    <row r="15" spans="1:5" x14ac:dyDescent="0.25">
      <c r="A15" s="132">
        <f t="shared" si="0"/>
        <v>10</v>
      </c>
      <c r="B15" s="229"/>
      <c r="C15" s="229"/>
      <c r="D15" s="350" t="str">
        <f>Hauswirtschaftspauschale!J14</f>
        <v/>
      </c>
      <c r="E15" s="242" t="str">
        <f>Bereitschaftspauschale!S16</f>
        <v/>
      </c>
    </row>
    <row r="16" spans="1:5" x14ac:dyDescent="0.25">
      <c r="A16" s="132">
        <f t="shared" si="0"/>
        <v>11</v>
      </c>
      <c r="B16" s="229"/>
      <c r="C16" s="229"/>
      <c r="D16" s="350" t="str">
        <f>Hauswirtschaftspauschale!J15</f>
        <v/>
      </c>
      <c r="E16" s="242" t="str">
        <f>Bereitschaftspauschale!S17</f>
        <v/>
      </c>
    </row>
    <row r="17" spans="1:5" x14ac:dyDescent="0.25">
      <c r="A17" s="132">
        <f t="shared" si="0"/>
        <v>12</v>
      </c>
      <c r="B17" s="229"/>
      <c r="C17" s="229"/>
      <c r="D17" s="350" t="str">
        <f>Hauswirtschaftspauschale!J16</f>
        <v/>
      </c>
      <c r="E17" s="242" t="str">
        <f>Bereitschaftspauschale!S18</f>
        <v/>
      </c>
    </row>
    <row r="18" spans="1:5" x14ac:dyDescent="0.25">
      <c r="A18" s="132">
        <f t="shared" si="0"/>
        <v>13</v>
      </c>
      <c r="B18" s="229"/>
      <c r="C18" s="229"/>
      <c r="D18" s="350" t="str">
        <f>Hauswirtschaftspauschale!J17</f>
        <v/>
      </c>
      <c r="E18" s="242" t="str">
        <f>Bereitschaftspauschale!S19</f>
        <v/>
      </c>
    </row>
    <row r="19" spans="1:5" x14ac:dyDescent="0.25">
      <c r="A19" s="132">
        <f t="shared" si="0"/>
        <v>14</v>
      </c>
      <c r="B19" s="229"/>
      <c r="C19" s="229"/>
      <c r="D19" s="350" t="str">
        <f>Hauswirtschaftspauschale!J18</f>
        <v/>
      </c>
      <c r="E19" s="242" t="str">
        <f>Bereitschaftspauschale!S20</f>
        <v/>
      </c>
    </row>
    <row r="20" spans="1:5" x14ac:dyDescent="0.25">
      <c r="A20" s="132">
        <f t="shared" si="0"/>
        <v>15</v>
      </c>
      <c r="B20" s="229"/>
      <c r="C20" s="229"/>
      <c r="D20" s="350" t="str">
        <f>Hauswirtschaftspauschale!J19</f>
        <v/>
      </c>
      <c r="E20" s="242" t="str">
        <f>Bereitschaftspauschale!S21</f>
        <v/>
      </c>
    </row>
    <row r="21" spans="1:5" x14ac:dyDescent="0.25">
      <c r="A21" s="132">
        <f t="shared" si="0"/>
        <v>16</v>
      </c>
      <c r="B21" s="229"/>
      <c r="C21" s="229"/>
      <c r="D21" s="350" t="str">
        <f>Hauswirtschaftspauschale!J20</f>
        <v/>
      </c>
      <c r="E21" s="242" t="str">
        <f>Bereitschaftspauschale!S22</f>
        <v/>
      </c>
    </row>
    <row r="22" spans="1:5" x14ac:dyDescent="0.25">
      <c r="A22" s="132">
        <f t="shared" si="0"/>
        <v>17</v>
      </c>
      <c r="B22" s="229"/>
      <c r="C22" s="229"/>
      <c r="D22" s="350" t="str">
        <f>Hauswirtschaftspauschale!J21</f>
        <v/>
      </c>
      <c r="E22" s="242" t="str">
        <f>Bereitschaftspauschale!S23</f>
        <v/>
      </c>
    </row>
    <row r="23" spans="1:5" x14ac:dyDescent="0.25">
      <c r="A23" s="132">
        <f t="shared" si="0"/>
        <v>18</v>
      </c>
      <c r="B23" s="229"/>
      <c r="C23" s="229"/>
      <c r="D23" s="350" t="str">
        <f>Hauswirtschaftspauschale!J22</f>
        <v/>
      </c>
      <c r="E23" s="242" t="str">
        <f>Bereitschaftspauschale!S24</f>
        <v/>
      </c>
    </row>
    <row r="24" spans="1:5" x14ac:dyDescent="0.25">
      <c r="A24" s="132">
        <f t="shared" si="0"/>
        <v>19</v>
      </c>
      <c r="B24" s="229"/>
      <c r="C24" s="229"/>
      <c r="D24" s="350" t="str">
        <f>Hauswirtschaftspauschale!J23</f>
        <v/>
      </c>
      <c r="E24" s="242" t="str">
        <f>Bereitschaftspauschale!S25</f>
        <v/>
      </c>
    </row>
    <row r="25" spans="1:5" x14ac:dyDescent="0.25">
      <c r="A25" s="132">
        <f t="shared" si="0"/>
        <v>20</v>
      </c>
      <c r="B25" s="229"/>
      <c r="C25" s="229"/>
      <c r="D25" s="350" t="str">
        <f>Hauswirtschaftspauschale!J24</f>
        <v/>
      </c>
      <c r="E25" s="242" t="str">
        <f>Bereitschaftspauschale!S26</f>
        <v/>
      </c>
    </row>
    <row r="26" spans="1:5" x14ac:dyDescent="0.25">
      <c r="A26" s="132">
        <f t="shared" si="0"/>
        <v>21</v>
      </c>
      <c r="B26" s="229"/>
      <c r="C26" s="229"/>
      <c r="D26" s="350" t="str">
        <f>Hauswirtschaftspauschale!J25</f>
        <v/>
      </c>
      <c r="E26" s="242" t="str">
        <f>Bereitschaftspauschale!S27</f>
        <v/>
      </c>
    </row>
    <row r="27" spans="1:5" x14ac:dyDescent="0.25">
      <c r="A27" s="132">
        <f t="shared" si="0"/>
        <v>22</v>
      </c>
      <c r="B27" s="229"/>
      <c r="C27" s="229"/>
      <c r="D27" s="350" t="str">
        <f>Hauswirtschaftspauschale!J26</f>
        <v/>
      </c>
      <c r="E27" s="242" t="str">
        <f>Bereitschaftspauschale!S28</f>
        <v/>
      </c>
    </row>
    <row r="28" spans="1:5" x14ac:dyDescent="0.25">
      <c r="A28" s="132">
        <f t="shared" si="0"/>
        <v>23</v>
      </c>
      <c r="B28" s="229"/>
      <c r="C28" s="229"/>
      <c r="D28" s="350" t="str">
        <f>Hauswirtschaftspauschale!J27</f>
        <v/>
      </c>
      <c r="E28" s="242" t="str">
        <f>Bereitschaftspauschale!S29</f>
        <v/>
      </c>
    </row>
    <row r="29" spans="1:5" x14ac:dyDescent="0.25">
      <c r="A29" s="132">
        <f t="shared" si="0"/>
        <v>24</v>
      </c>
      <c r="B29" s="229"/>
      <c r="C29" s="229"/>
      <c r="D29" s="350" t="str">
        <f>Hauswirtschaftspauschale!J28</f>
        <v/>
      </c>
      <c r="E29" s="242" t="str">
        <f>Bereitschaftspauschale!S30</f>
        <v/>
      </c>
    </row>
    <row r="30" spans="1:5" x14ac:dyDescent="0.25">
      <c r="A30" s="132">
        <f t="shared" si="0"/>
        <v>25</v>
      </c>
      <c r="B30" s="229"/>
      <c r="C30" s="229"/>
      <c r="D30" s="350" t="str">
        <f>Hauswirtschaftspauschale!J29</f>
        <v/>
      </c>
      <c r="E30" s="242" t="str">
        <f>Bereitschaftspauschale!S31</f>
        <v/>
      </c>
    </row>
    <row r="31" spans="1:5" x14ac:dyDescent="0.25">
      <c r="A31" s="132">
        <f t="shared" si="0"/>
        <v>26</v>
      </c>
      <c r="B31" s="229"/>
      <c r="C31" s="229"/>
      <c r="D31" s="350" t="str">
        <f>Hauswirtschaftspauschale!J30</f>
        <v/>
      </c>
      <c r="E31" s="242" t="str">
        <f>Bereitschaftspauschale!S32</f>
        <v/>
      </c>
    </row>
    <row r="32" spans="1:5" x14ac:dyDescent="0.25">
      <c r="A32" s="132">
        <f t="shared" si="0"/>
        <v>27</v>
      </c>
      <c r="B32" s="229"/>
      <c r="C32" s="229"/>
      <c r="D32" s="350" t="str">
        <f>Hauswirtschaftspauschale!J31</f>
        <v/>
      </c>
      <c r="E32" s="242" t="str">
        <f>Bereitschaftspauschale!S33</f>
        <v/>
      </c>
    </row>
    <row r="33" spans="1:5" x14ac:dyDescent="0.25">
      <c r="A33" s="132">
        <f t="shared" si="0"/>
        <v>28</v>
      </c>
      <c r="B33" s="229"/>
      <c r="C33" s="229"/>
      <c r="D33" s="350" t="str">
        <f>Hauswirtschaftspauschale!J32</f>
        <v/>
      </c>
      <c r="E33" s="242" t="str">
        <f>Bereitschaftspauschale!S34</f>
        <v/>
      </c>
    </row>
    <row r="34" spans="1:5" x14ac:dyDescent="0.25">
      <c r="A34" s="132">
        <f t="shared" si="0"/>
        <v>29</v>
      </c>
      <c r="B34" s="229"/>
      <c r="C34" s="229"/>
      <c r="D34" s="350" t="str">
        <f>Hauswirtschaftspauschale!J33</f>
        <v/>
      </c>
      <c r="E34" s="242" t="str">
        <f>Bereitschaftspauschale!S35</f>
        <v/>
      </c>
    </row>
    <row r="35" spans="1:5" x14ac:dyDescent="0.25">
      <c r="A35" s="132">
        <f t="shared" si="0"/>
        <v>30</v>
      </c>
      <c r="B35" s="229"/>
      <c r="C35" s="229"/>
      <c r="D35" s="350" t="str">
        <f>Hauswirtschaftspauschale!J34</f>
        <v/>
      </c>
      <c r="E35" s="242" t="str">
        <f>Bereitschaftspauschale!S36</f>
        <v/>
      </c>
    </row>
    <row r="36" spans="1:5" x14ac:dyDescent="0.25">
      <c r="A36" s="132">
        <f t="shared" si="0"/>
        <v>31</v>
      </c>
      <c r="B36" s="229"/>
      <c r="C36" s="229"/>
      <c r="D36" s="350" t="str">
        <f>Hauswirtschaftspauschale!J35</f>
        <v/>
      </c>
      <c r="E36" s="242" t="str">
        <f>Bereitschaftspauschale!S37</f>
        <v/>
      </c>
    </row>
    <row r="37" spans="1:5" x14ac:dyDescent="0.25">
      <c r="A37" s="132">
        <f t="shared" si="0"/>
        <v>32</v>
      </c>
      <c r="B37" s="229"/>
      <c r="C37" s="229"/>
      <c r="D37" s="350" t="str">
        <f>Hauswirtschaftspauschale!J36</f>
        <v/>
      </c>
      <c r="E37" s="242" t="str">
        <f>Bereitschaftspauschale!S38</f>
        <v/>
      </c>
    </row>
    <row r="38" spans="1:5" x14ac:dyDescent="0.25">
      <c r="A38" s="132">
        <f t="shared" si="0"/>
        <v>33</v>
      </c>
      <c r="B38" s="229"/>
      <c r="C38" s="229"/>
      <c r="D38" s="350" t="str">
        <f>Hauswirtschaftspauschale!J37</f>
        <v/>
      </c>
      <c r="E38" s="242" t="str">
        <f>Bereitschaftspauschale!S39</f>
        <v/>
      </c>
    </row>
    <row r="39" spans="1:5" x14ac:dyDescent="0.25">
      <c r="A39" s="132">
        <f t="shared" si="0"/>
        <v>34</v>
      </c>
      <c r="B39" s="229"/>
      <c r="C39" s="229"/>
      <c r="D39" s="350" t="str">
        <f>Hauswirtschaftspauschale!J38</f>
        <v/>
      </c>
      <c r="E39" s="242" t="str">
        <f>Bereitschaftspauschale!S40</f>
        <v/>
      </c>
    </row>
    <row r="40" spans="1:5" x14ac:dyDescent="0.25">
      <c r="A40" s="132">
        <f t="shared" si="0"/>
        <v>35</v>
      </c>
      <c r="B40" s="229"/>
      <c r="C40" s="229"/>
      <c r="D40" s="350" t="str">
        <f>Hauswirtschaftspauschale!J39</f>
        <v/>
      </c>
      <c r="E40" s="242" t="str">
        <f>Bereitschaftspauschale!S41</f>
        <v/>
      </c>
    </row>
    <row r="41" spans="1:5" x14ac:dyDescent="0.25">
      <c r="A41" s="132">
        <f t="shared" si="0"/>
        <v>36</v>
      </c>
      <c r="B41" s="229"/>
      <c r="C41" s="229"/>
      <c r="D41" s="350" t="str">
        <f>Hauswirtschaftspauschale!J40</f>
        <v/>
      </c>
      <c r="E41" s="242" t="str">
        <f>Bereitschaftspauschale!S42</f>
        <v/>
      </c>
    </row>
    <row r="42" spans="1:5" x14ac:dyDescent="0.25">
      <c r="A42" s="132">
        <f t="shared" si="0"/>
        <v>37</v>
      </c>
      <c r="B42" s="229"/>
      <c r="C42" s="229"/>
      <c r="D42" s="350" t="str">
        <f>Hauswirtschaftspauschale!J41</f>
        <v/>
      </c>
      <c r="E42" s="242" t="str">
        <f>Bereitschaftspauschale!S43</f>
        <v/>
      </c>
    </row>
    <row r="43" spans="1:5" x14ac:dyDescent="0.25">
      <c r="A43" s="132">
        <f t="shared" si="0"/>
        <v>38</v>
      </c>
      <c r="B43" s="229"/>
      <c r="C43" s="229"/>
      <c r="D43" s="350" t="str">
        <f>Hauswirtschaftspauschale!J42</f>
        <v/>
      </c>
      <c r="E43" s="242" t="str">
        <f>Bereitschaftspauschale!S44</f>
        <v/>
      </c>
    </row>
    <row r="44" spans="1:5" x14ac:dyDescent="0.25">
      <c r="A44" s="132">
        <f t="shared" si="0"/>
        <v>39</v>
      </c>
      <c r="B44" s="229"/>
      <c r="C44" s="229"/>
      <c r="D44" s="350" t="str">
        <f>Hauswirtschaftspauschale!J43</f>
        <v/>
      </c>
      <c r="E44" s="242" t="str">
        <f>Bereitschaftspauschale!S45</f>
        <v/>
      </c>
    </row>
    <row r="45" spans="1:5" x14ac:dyDescent="0.25">
      <c r="A45" s="132">
        <f t="shared" si="0"/>
        <v>40</v>
      </c>
      <c r="B45" s="229"/>
      <c r="C45" s="229"/>
      <c r="D45" s="350" t="str">
        <f>Hauswirtschaftspauschale!J44</f>
        <v/>
      </c>
      <c r="E45" s="242" t="str">
        <f>Bereitschaftspauschale!S46</f>
        <v/>
      </c>
    </row>
  </sheetData>
  <sheetProtection algorithmName="SHA-512" hashValue="D2CKZIBoeN1mvaG5FsK5zD30EHOyg11elnPiuSVTrOPEk8srBHXb7146U+K6cGE2rYllCjGGhKT3/Tf+oGDRNg==" saltValue="iCtj9181E6qWDNw6DdWTDw==" spinCount="100000" sheet="1" objects="1" scenarios="1" formatCells="0"/>
  <pageMargins left="0.7" right="0.7" top="0.78740157499999996" bottom="0.78740157499999996" header="0.3" footer="0.3"/>
  <pageSetup paperSize="9" scale="83" fitToHeight="0" orientation="portrait" r:id="rId1"/>
  <headerFooter>
    <oddFooter>&amp;L&amp;"Arial,Standard"&amp;8Datum des Ausdrucks
&amp;D&amp;C&amp;"Arial,Standard"&amp;8Kalkulationsdatei Assistenzleistungen 
Rahmenvertrag 3 Version 1.0&amp;R&amp;"Arial,Standard"&amp;8 Liste besondere Wohnformen
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M44"/>
  <sheetViews>
    <sheetView showGridLines="0" zoomScaleNormal="100" workbookViewId="0">
      <pane ySplit="4" topLeftCell="A5" activePane="bottomLeft" state="frozen"/>
      <selection pane="bottomLeft" activeCell="E5" sqref="E5"/>
    </sheetView>
  </sheetViews>
  <sheetFormatPr baseColWidth="10" defaultColWidth="11.44140625" defaultRowHeight="13.2" x14ac:dyDescent="0.25"/>
  <cols>
    <col min="1" max="1" width="4.33203125" style="1" customWidth="1"/>
    <col min="2" max="4" width="11.44140625" style="1"/>
    <col min="5" max="5" width="15.33203125" style="1" customWidth="1"/>
    <col min="6" max="6" width="19.33203125" style="1" customWidth="1"/>
    <col min="7" max="7" width="17.109375" style="1" customWidth="1"/>
    <col min="8" max="8" width="14.109375" style="1" customWidth="1"/>
    <col min="9" max="9" width="16.33203125" style="1" customWidth="1"/>
    <col min="10" max="11" width="11.44140625" style="1"/>
    <col min="12" max="12" width="18.33203125" style="1" customWidth="1"/>
    <col min="13" max="16384" width="11.44140625" style="1"/>
  </cols>
  <sheetData>
    <row r="1" spans="1:13" x14ac:dyDescent="0.25">
      <c r="A1" s="481" t="str">
        <f>"Kalkulation Assistenzleistungen "&amp;TEXT(Kalkulationsblatt!C5,"")&amp;" für den Zeitraum vom "&amp;TEXT(Kalkulationsblatt!C13,"TT. MMMM JJJJ")&amp;" bis zum "&amp;TEXT(Kalkulationsblatt!E13,"TT. MMMM JJJJ")&amp;""</f>
        <v>Kalkulation Assistenzleistungen  für den Zeitraum vom 00. Januar 1900 bis zum 00. Januar 1900</v>
      </c>
      <c r="B1" s="481"/>
      <c r="C1" s="481"/>
      <c r="D1" s="481"/>
      <c r="E1" s="481"/>
      <c r="F1" s="481"/>
      <c r="G1" s="481"/>
      <c r="H1" s="481"/>
      <c r="I1" s="481"/>
      <c r="J1" s="481"/>
    </row>
    <row r="3" spans="1:13" ht="16.5" customHeight="1" x14ac:dyDescent="0.25">
      <c r="A3" s="409"/>
      <c r="B3" s="525" t="s">
        <v>15</v>
      </c>
      <c r="C3" s="525"/>
      <c r="D3" s="525"/>
      <c r="E3" s="525"/>
      <c r="F3" s="525"/>
      <c r="G3" s="525"/>
      <c r="H3" s="525"/>
      <c r="I3" s="525"/>
      <c r="J3" s="525"/>
      <c r="L3" s="407" t="s">
        <v>138</v>
      </c>
    </row>
    <row r="4" spans="1:13" ht="79.2" x14ac:dyDescent="0.25">
      <c r="A4" s="410" t="s">
        <v>16</v>
      </c>
      <c r="B4" s="526" t="s">
        <v>17</v>
      </c>
      <c r="C4" s="527"/>
      <c r="D4" s="527"/>
      <c r="E4" s="404" t="s">
        <v>288</v>
      </c>
      <c r="F4" s="404" t="s">
        <v>289</v>
      </c>
      <c r="G4" s="404" t="s">
        <v>290</v>
      </c>
      <c r="H4" s="404" t="s">
        <v>291</v>
      </c>
      <c r="I4" s="404" t="s">
        <v>292</v>
      </c>
      <c r="J4" s="405" t="s">
        <v>293</v>
      </c>
      <c r="L4" s="228" t="s">
        <v>139</v>
      </c>
    </row>
    <row r="5" spans="1:13" x14ac:dyDescent="0.25">
      <c r="A5" s="410">
        <v>1</v>
      </c>
      <c r="B5" s="523" t="str">
        <f>IF('Liste besondere Wohnformen'!B6="","",'Liste besondere Wohnformen'!B6)</f>
        <v/>
      </c>
      <c r="C5" s="524"/>
      <c r="D5" s="524"/>
      <c r="E5" s="303"/>
      <c r="F5" s="17" t="str">
        <f>IF(E5="","",E5*'PK Zusammenfassung'!$O$6)</f>
        <v/>
      </c>
      <c r="G5" s="17" t="str">
        <f t="shared" ref="G5:G12" si="0">IF(F5="","",ROUND(F5*60,0))</f>
        <v/>
      </c>
      <c r="H5" s="230" t="str">
        <f>IF('Liste besondere Wohnformen'!C6="","",'Liste besondere Wohnformen'!C6)</f>
        <v/>
      </c>
      <c r="I5" s="411" t="str">
        <f t="shared" ref="I5:I29" si="1">IF(E5="","",ROUND(G5/H5/365*7,0))</f>
        <v/>
      </c>
      <c r="J5" s="25" t="str">
        <f t="shared" ref="J5:J44" si="2">IF(I5="","",I5*$L$6)</f>
        <v/>
      </c>
      <c r="L5" s="408"/>
      <c r="M5" s="256"/>
    </row>
    <row r="6" spans="1:13" x14ac:dyDescent="0.25">
      <c r="A6" s="410">
        <f t="shared" ref="A6:A44" si="3">A5+1</f>
        <v>2</v>
      </c>
      <c r="B6" s="523" t="str">
        <f>IF('Liste besondere Wohnformen'!B7="","",'Liste besondere Wohnformen'!B7)</f>
        <v/>
      </c>
      <c r="C6" s="524"/>
      <c r="D6" s="524"/>
      <c r="E6" s="303"/>
      <c r="F6" s="17" t="str">
        <f>IF(E6="","",E6*'PK Zusammenfassung'!$O$6)</f>
        <v/>
      </c>
      <c r="G6" s="17" t="str">
        <f t="shared" si="0"/>
        <v/>
      </c>
      <c r="H6" s="230" t="str">
        <f>IF('Liste besondere Wohnformen'!C7="","",'Liste besondere Wohnformen'!C7)</f>
        <v/>
      </c>
      <c r="I6" s="411" t="str">
        <f t="shared" si="1"/>
        <v/>
      </c>
      <c r="J6" s="25" t="str">
        <f t="shared" si="2"/>
        <v/>
      </c>
      <c r="L6" s="445">
        <f>IF(L5&gt;0,ROUND(L5/7/60,4),ROUND(Kalkulationsblatt!E61/7/60,4))</f>
        <v>0</v>
      </c>
      <c r="M6" s="250" t="s">
        <v>307</v>
      </c>
    </row>
    <row r="7" spans="1:13" x14ac:dyDescent="0.25">
      <c r="A7" s="410">
        <f t="shared" si="3"/>
        <v>3</v>
      </c>
      <c r="B7" s="523" t="str">
        <f>IF('Liste besondere Wohnformen'!B8="","",'Liste besondere Wohnformen'!B8)</f>
        <v/>
      </c>
      <c r="C7" s="524"/>
      <c r="D7" s="524"/>
      <c r="E7" s="303"/>
      <c r="F7" s="17" t="str">
        <f>IF(E7="","",E7*'PK Zusammenfassung'!$O$6)</f>
        <v/>
      </c>
      <c r="G7" s="17" t="str">
        <f t="shared" si="0"/>
        <v/>
      </c>
      <c r="H7" s="230" t="str">
        <f>IF('Liste besondere Wohnformen'!C8="","",'Liste besondere Wohnformen'!C8)</f>
        <v/>
      </c>
      <c r="I7" s="411" t="str">
        <f t="shared" si="1"/>
        <v/>
      </c>
      <c r="J7" s="25" t="str">
        <f t="shared" si="2"/>
        <v/>
      </c>
    </row>
    <row r="8" spans="1:13" x14ac:dyDescent="0.25">
      <c r="A8" s="410">
        <f t="shared" si="3"/>
        <v>4</v>
      </c>
      <c r="B8" s="523" t="str">
        <f>IF('Liste besondere Wohnformen'!B9="","",'Liste besondere Wohnformen'!B9)</f>
        <v/>
      </c>
      <c r="C8" s="524"/>
      <c r="D8" s="524"/>
      <c r="E8" s="303"/>
      <c r="F8" s="17" t="str">
        <f>IF(E8="","",E8*'PK Zusammenfassung'!$O$6)</f>
        <v/>
      </c>
      <c r="G8" s="17" t="str">
        <f t="shared" si="0"/>
        <v/>
      </c>
      <c r="H8" s="230" t="str">
        <f>IF('Liste besondere Wohnformen'!C9="","",'Liste besondere Wohnformen'!C9)</f>
        <v/>
      </c>
      <c r="I8" s="411" t="str">
        <f t="shared" si="1"/>
        <v/>
      </c>
      <c r="J8" s="25" t="str">
        <f t="shared" si="2"/>
        <v/>
      </c>
      <c r="M8" s="256"/>
    </row>
    <row r="9" spans="1:13" x14ac:dyDescent="0.25">
      <c r="A9" s="410">
        <f t="shared" si="3"/>
        <v>5</v>
      </c>
      <c r="B9" s="523" t="str">
        <f>IF('Liste besondere Wohnformen'!B10="","",'Liste besondere Wohnformen'!B10)</f>
        <v/>
      </c>
      <c r="C9" s="524"/>
      <c r="D9" s="524"/>
      <c r="E9" s="303"/>
      <c r="F9" s="17" t="str">
        <f>IF(E9="","",E9*'PK Zusammenfassung'!$O$6)</f>
        <v/>
      </c>
      <c r="G9" s="17" t="str">
        <f t="shared" si="0"/>
        <v/>
      </c>
      <c r="H9" s="230" t="str">
        <f>IF('Liste besondere Wohnformen'!C10="","",'Liste besondere Wohnformen'!C10)</f>
        <v/>
      </c>
      <c r="I9" s="411" t="str">
        <f t="shared" si="1"/>
        <v/>
      </c>
      <c r="J9" s="25" t="str">
        <f t="shared" si="2"/>
        <v/>
      </c>
    </row>
    <row r="10" spans="1:13" x14ac:dyDescent="0.25">
      <c r="A10" s="410">
        <f t="shared" si="3"/>
        <v>6</v>
      </c>
      <c r="B10" s="523" t="str">
        <f>IF('Liste besondere Wohnformen'!B11="","",'Liste besondere Wohnformen'!B11)</f>
        <v/>
      </c>
      <c r="C10" s="524"/>
      <c r="D10" s="524"/>
      <c r="E10" s="303"/>
      <c r="F10" s="17" t="str">
        <f>IF(E10="","",E10*'PK Zusammenfassung'!$O$6)</f>
        <v/>
      </c>
      <c r="G10" s="17" t="str">
        <f t="shared" si="0"/>
        <v/>
      </c>
      <c r="H10" s="230" t="str">
        <f>IF('Liste besondere Wohnformen'!C11="","",'Liste besondere Wohnformen'!C11)</f>
        <v/>
      </c>
      <c r="I10" s="411" t="str">
        <f t="shared" si="1"/>
        <v/>
      </c>
      <c r="J10" s="25" t="str">
        <f t="shared" si="2"/>
        <v/>
      </c>
    </row>
    <row r="11" spans="1:13" x14ac:dyDescent="0.25">
      <c r="A11" s="410">
        <f t="shared" si="3"/>
        <v>7</v>
      </c>
      <c r="B11" s="523" t="str">
        <f>IF('Liste besondere Wohnformen'!B12="","",'Liste besondere Wohnformen'!B12)</f>
        <v/>
      </c>
      <c r="C11" s="524"/>
      <c r="D11" s="524"/>
      <c r="E11" s="303"/>
      <c r="F11" s="17" t="str">
        <f>IF(E11="","",E11*'PK Zusammenfassung'!$O$6)</f>
        <v/>
      </c>
      <c r="G11" s="17" t="str">
        <f t="shared" si="0"/>
        <v/>
      </c>
      <c r="H11" s="230" t="str">
        <f>IF('Liste besondere Wohnformen'!C12="","",'Liste besondere Wohnformen'!C12)</f>
        <v/>
      </c>
      <c r="I11" s="411" t="str">
        <f t="shared" si="1"/>
        <v/>
      </c>
      <c r="J11" s="25" t="str">
        <f t="shared" si="2"/>
        <v/>
      </c>
    </row>
    <row r="12" spans="1:13" x14ac:dyDescent="0.25">
      <c r="A12" s="410">
        <f t="shared" si="3"/>
        <v>8</v>
      </c>
      <c r="B12" s="523" t="str">
        <f>IF('Liste besondere Wohnformen'!B13="","",'Liste besondere Wohnformen'!B13)</f>
        <v/>
      </c>
      <c r="C12" s="524"/>
      <c r="D12" s="524"/>
      <c r="E12" s="303"/>
      <c r="F12" s="17" t="str">
        <f>IF(E12="","",E12*'PK Zusammenfassung'!$O$6)</f>
        <v/>
      </c>
      <c r="G12" s="17" t="str">
        <f t="shared" si="0"/>
        <v/>
      </c>
      <c r="H12" s="230" t="str">
        <f>IF('Liste besondere Wohnformen'!C13="","",'Liste besondere Wohnformen'!C13)</f>
        <v/>
      </c>
      <c r="I12" s="411" t="str">
        <f t="shared" si="1"/>
        <v/>
      </c>
      <c r="J12" s="25" t="str">
        <f t="shared" si="2"/>
        <v/>
      </c>
    </row>
    <row r="13" spans="1:13" x14ac:dyDescent="0.25">
      <c r="A13" s="410">
        <f t="shared" si="3"/>
        <v>9</v>
      </c>
      <c r="B13" s="523" t="str">
        <f>IF('Liste besondere Wohnformen'!B14="","",'Liste besondere Wohnformen'!B14)</f>
        <v/>
      </c>
      <c r="C13" s="524"/>
      <c r="D13" s="524"/>
      <c r="E13" s="303"/>
      <c r="F13" s="17" t="str">
        <f>IF(E13="","",E13*'PK Zusammenfassung'!$O$6)</f>
        <v/>
      </c>
      <c r="G13" s="17" t="str">
        <f t="shared" ref="G13:G29" si="4">IF(F13="","",ROUND(F13*60,0))</f>
        <v/>
      </c>
      <c r="H13" s="230" t="str">
        <f>IF('Liste besondere Wohnformen'!C14="","",'Liste besondere Wohnformen'!C14)</f>
        <v/>
      </c>
      <c r="I13" s="411" t="str">
        <f t="shared" si="1"/>
        <v/>
      </c>
      <c r="J13" s="25" t="str">
        <f t="shared" si="2"/>
        <v/>
      </c>
    </row>
    <row r="14" spans="1:13" x14ac:dyDescent="0.25">
      <c r="A14" s="410">
        <f t="shared" si="3"/>
        <v>10</v>
      </c>
      <c r="B14" s="523" t="str">
        <f>IF('Liste besondere Wohnformen'!B15="","",'Liste besondere Wohnformen'!B15)</f>
        <v/>
      </c>
      <c r="C14" s="524"/>
      <c r="D14" s="524"/>
      <c r="E14" s="303"/>
      <c r="F14" s="17" t="str">
        <f>IF(E14="","",E14*'PK Zusammenfassung'!$O$6)</f>
        <v/>
      </c>
      <c r="G14" s="17" t="str">
        <f t="shared" si="4"/>
        <v/>
      </c>
      <c r="H14" s="230" t="str">
        <f>IF('Liste besondere Wohnformen'!C15="","",'Liste besondere Wohnformen'!C15)</f>
        <v/>
      </c>
      <c r="I14" s="411" t="str">
        <f t="shared" si="1"/>
        <v/>
      </c>
      <c r="J14" s="25" t="str">
        <f t="shared" si="2"/>
        <v/>
      </c>
    </row>
    <row r="15" spans="1:13" x14ac:dyDescent="0.25">
      <c r="A15" s="410">
        <f t="shared" si="3"/>
        <v>11</v>
      </c>
      <c r="B15" s="523" t="str">
        <f>IF('Liste besondere Wohnformen'!B16="","",'Liste besondere Wohnformen'!B16)</f>
        <v/>
      </c>
      <c r="C15" s="524"/>
      <c r="D15" s="524"/>
      <c r="E15" s="303"/>
      <c r="F15" s="17" t="str">
        <f>IF(E15="","",E15*'PK Zusammenfassung'!$O$6)</f>
        <v/>
      </c>
      <c r="G15" s="17" t="str">
        <f t="shared" si="4"/>
        <v/>
      </c>
      <c r="H15" s="230" t="str">
        <f>IF('Liste besondere Wohnformen'!C16="","",'Liste besondere Wohnformen'!C16)</f>
        <v/>
      </c>
      <c r="I15" s="411" t="str">
        <f t="shared" si="1"/>
        <v/>
      </c>
      <c r="J15" s="25" t="str">
        <f t="shared" si="2"/>
        <v/>
      </c>
    </row>
    <row r="16" spans="1:13" x14ac:dyDescent="0.25">
      <c r="A16" s="410">
        <f t="shared" si="3"/>
        <v>12</v>
      </c>
      <c r="B16" s="523" t="str">
        <f>IF('Liste besondere Wohnformen'!B17="","",'Liste besondere Wohnformen'!B17)</f>
        <v/>
      </c>
      <c r="C16" s="524"/>
      <c r="D16" s="524"/>
      <c r="E16" s="303"/>
      <c r="F16" s="17" t="str">
        <f>IF(E16="","",E16*'PK Zusammenfassung'!$O$6)</f>
        <v/>
      </c>
      <c r="G16" s="17" t="str">
        <f t="shared" si="4"/>
        <v/>
      </c>
      <c r="H16" s="230" t="str">
        <f>IF('Liste besondere Wohnformen'!C17="","",'Liste besondere Wohnformen'!C17)</f>
        <v/>
      </c>
      <c r="I16" s="411" t="str">
        <f t="shared" si="1"/>
        <v/>
      </c>
      <c r="J16" s="25" t="str">
        <f t="shared" si="2"/>
        <v/>
      </c>
    </row>
    <row r="17" spans="1:10" x14ac:dyDescent="0.25">
      <c r="A17" s="410">
        <f t="shared" si="3"/>
        <v>13</v>
      </c>
      <c r="B17" s="523" t="str">
        <f>IF('Liste besondere Wohnformen'!B18="","",'Liste besondere Wohnformen'!B18)</f>
        <v/>
      </c>
      <c r="C17" s="524"/>
      <c r="D17" s="524"/>
      <c r="E17" s="303"/>
      <c r="F17" s="17" t="str">
        <f>IF(E17="","",E17*'PK Zusammenfassung'!$O$6)</f>
        <v/>
      </c>
      <c r="G17" s="17" t="str">
        <f t="shared" si="4"/>
        <v/>
      </c>
      <c r="H17" s="230" t="str">
        <f>IF('Liste besondere Wohnformen'!C18="","",'Liste besondere Wohnformen'!C18)</f>
        <v/>
      </c>
      <c r="I17" s="411" t="str">
        <f t="shared" si="1"/>
        <v/>
      </c>
      <c r="J17" s="25" t="str">
        <f t="shared" si="2"/>
        <v/>
      </c>
    </row>
    <row r="18" spans="1:10" x14ac:dyDescent="0.25">
      <c r="A18" s="410">
        <f t="shared" si="3"/>
        <v>14</v>
      </c>
      <c r="B18" s="523" t="str">
        <f>IF('Liste besondere Wohnformen'!B19="","",'Liste besondere Wohnformen'!B19)</f>
        <v/>
      </c>
      <c r="C18" s="524"/>
      <c r="D18" s="524"/>
      <c r="E18" s="303"/>
      <c r="F18" s="17" t="str">
        <f>IF(E18="","",E18*'PK Zusammenfassung'!$O$6)</f>
        <v/>
      </c>
      <c r="G18" s="17" t="str">
        <f t="shared" si="4"/>
        <v/>
      </c>
      <c r="H18" s="230" t="str">
        <f>IF('Liste besondere Wohnformen'!C19="","",'Liste besondere Wohnformen'!C19)</f>
        <v/>
      </c>
      <c r="I18" s="411" t="str">
        <f t="shared" si="1"/>
        <v/>
      </c>
      <c r="J18" s="25" t="str">
        <f t="shared" si="2"/>
        <v/>
      </c>
    </row>
    <row r="19" spans="1:10" x14ac:dyDescent="0.25">
      <c r="A19" s="410">
        <f t="shared" si="3"/>
        <v>15</v>
      </c>
      <c r="B19" s="523" t="str">
        <f>IF('Liste besondere Wohnformen'!B20="","",'Liste besondere Wohnformen'!B20)</f>
        <v/>
      </c>
      <c r="C19" s="524"/>
      <c r="D19" s="524"/>
      <c r="E19" s="303"/>
      <c r="F19" s="17" t="str">
        <f>IF(E19="","",E19*'PK Zusammenfassung'!$O$6)</f>
        <v/>
      </c>
      <c r="G19" s="17" t="str">
        <f t="shared" si="4"/>
        <v/>
      </c>
      <c r="H19" s="230" t="str">
        <f>IF('Liste besondere Wohnformen'!C20="","",'Liste besondere Wohnformen'!C20)</f>
        <v/>
      </c>
      <c r="I19" s="411" t="str">
        <f t="shared" si="1"/>
        <v/>
      </c>
      <c r="J19" s="25" t="str">
        <f t="shared" si="2"/>
        <v/>
      </c>
    </row>
    <row r="20" spans="1:10" x14ac:dyDescent="0.25">
      <c r="A20" s="410">
        <f t="shared" si="3"/>
        <v>16</v>
      </c>
      <c r="B20" s="523" t="str">
        <f>IF('Liste besondere Wohnformen'!B21="","",'Liste besondere Wohnformen'!B21)</f>
        <v/>
      </c>
      <c r="C20" s="524"/>
      <c r="D20" s="524"/>
      <c r="E20" s="303"/>
      <c r="F20" s="17" t="str">
        <f>IF(E20="","",E20*'PK Zusammenfassung'!$O$6)</f>
        <v/>
      </c>
      <c r="G20" s="17" t="str">
        <f t="shared" si="4"/>
        <v/>
      </c>
      <c r="H20" s="230" t="str">
        <f>IF('Liste besondere Wohnformen'!C21="","",'Liste besondere Wohnformen'!C21)</f>
        <v/>
      </c>
      <c r="I20" s="411" t="str">
        <f t="shared" si="1"/>
        <v/>
      </c>
      <c r="J20" s="25" t="str">
        <f t="shared" si="2"/>
        <v/>
      </c>
    </row>
    <row r="21" spans="1:10" x14ac:dyDescent="0.25">
      <c r="A21" s="410">
        <f t="shared" si="3"/>
        <v>17</v>
      </c>
      <c r="B21" s="523" t="str">
        <f>IF('Liste besondere Wohnformen'!B22="","",'Liste besondere Wohnformen'!B22)</f>
        <v/>
      </c>
      <c r="C21" s="524"/>
      <c r="D21" s="524"/>
      <c r="E21" s="303"/>
      <c r="F21" s="17" t="str">
        <f>IF(E21="","",E21*'PK Zusammenfassung'!$O$6)</f>
        <v/>
      </c>
      <c r="G21" s="17" t="str">
        <f t="shared" si="4"/>
        <v/>
      </c>
      <c r="H21" s="230" t="str">
        <f>IF('Liste besondere Wohnformen'!C22="","",'Liste besondere Wohnformen'!C22)</f>
        <v/>
      </c>
      <c r="I21" s="411" t="str">
        <f t="shared" si="1"/>
        <v/>
      </c>
      <c r="J21" s="25" t="str">
        <f t="shared" si="2"/>
        <v/>
      </c>
    </row>
    <row r="22" spans="1:10" x14ac:dyDescent="0.25">
      <c r="A22" s="410">
        <f t="shared" si="3"/>
        <v>18</v>
      </c>
      <c r="B22" s="523" t="str">
        <f>IF('Liste besondere Wohnformen'!B23="","",'Liste besondere Wohnformen'!B23)</f>
        <v/>
      </c>
      <c r="C22" s="524"/>
      <c r="D22" s="524"/>
      <c r="E22" s="303"/>
      <c r="F22" s="17" t="str">
        <f>IF(E22="","",E22*'PK Zusammenfassung'!$O$6)</f>
        <v/>
      </c>
      <c r="G22" s="17" t="str">
        <f t="shared" si="4"/>
        <v/>
      </c>
      <c r="H22" s="230" t="str">
        <f>IF('Liste besondere Wohnformen'!C23="","",'Liste besondere Wohnformen'!C23)</f>
        <v/>
      </c>
      <c r="I22" s="411" t="str">
        <f t="shared" si="1"/>
        <v/>
      </c>
      <c r="J22" s="25" t="str">
        <f t="shared" si="2"/>
        <v/>
      </c>
    </row>
    <row r="23" spans="1:10" x14ac:dyDescent="0.25">
      <c r="A23" s="410">
        <f t="shared" si="3"/>
        <v>19</v>
      </c>
      <c r="B23" s="523" t="str">
        <f>IF('Liste besondere Wohnformen'!B24="","",'Liste besondere Wohnformen'!B24)</f>
        <v/>
      </c>
      <c r="C23" s="524"/>
      <c r="D23" s="524"/>
      <c r="E23" s="303"/>
      <c r="F23" s="17" t="str">
        <f>IF(E23="","",E23*'PK Zusammenfassung'!$O$6)</f>
        <v/>
      </c>
      <c r="G23" s="17" t="str">
        <f t="shared" si="4"/>
        <v/>
      </c>
      <c r="H23" s="230" t="str">
        <f>IF('Liste besondere Wohnformen'!C24="","",'Liste besondere Wohnformen'!C24)</f>
        <v/>
      </c>
      <c r="I23" s="411" t="str">
        <f t="shared" si="1"/>
        <v/>
      </c>
      <c r="J23" s="25" t="str">
        <f t="shared" si="2"/>
        <v/>
      </c>
    </row>
    <row r="24" spans="1:10" x14ac:dyDescent="0.25">
      <c r="A24" s="410">
        <f t="shared" si="3"/>
        <v>20</v>
      </c>
      <c r="B24" s="523" t="str">
        <f>IF('Liste besondere Wohnformen'!B25="","",'Liste besondere Wohnformen'!B25)</f>
        <v/>
      </c>
      <c r="C24" s="524"/>
      <c r="D24" s="524"/>
      <c r="E24" s="303"/>
      <c r="F24" s="17" t="str">
        <f>IF(E24="","",E24*'PK Zusammenfassung'!$O$6)</f>
        <v/>
      </c>
      <c r="G24" s="17" t="str">
        <f t="shared" si="4"/>
        <v/>
      </c>
      <c r="H24" s="230" t="str">
        <f>IF('Liste besondere Wohnformen'!C25="","",'Liste besondere Wohnformen'!C25)</f>
        <v/>
      </c>
      <c r="I24" s="411" t="str">
        <f t="shared" si="1"/>
        <v/>
      </c>
      <c r="J24" s="25" t="str">
        <f t="shared" si="2"/>
        <v/>
      </c>
    </row>
    <row r="25" spans="1:10" x14ac:dyDescent="0.25">
      <c r="A25" s="410">
        <f t="shared" si="3"/>
        <v>21</v>
      </c>
      <c r="B25" s="523" t="str">
        <f>IF('Liste besondere Wohnformen'!B26="","",'Liste besondere Wohnformen'!B26)</f>
        <v/>
      </c>
      <c r="C25" s="524"/>
      <c r="D25" s="524"/>
      <c r="E25" s="303"/>
      <c r="F25" s="17" t="str">
        <f>IF(E25="","",E25*'PK Zusammenfassung'!$O$6)</f>
        <v/>
      </c>
      <c r="G25" s="17" t="str">
        <f t="shared" si="4"/>
        <v/>
      </c>
      <c r="H25" s="230" t="str">
        <f>IF('Liste besondere Wohnformen'!C26="","",'Liste besondere Wohnformen'!C26)</f>
        <v/>
      </c>
      <c r="I25" s="411" t="str">
        <f t="shared" si="1"/>
        <v/>
      </c>
      <c r="J25" s="25" t="str">
        <f t="shared" si="2"/>
        <v/>
      </c>
    </row>
    <row r="26" spans="1:10" x14ac:dyDescent="0.25">
      <c r="A26" s="410">
        <f t="shared" si="3"/>
        <v>22</v>
      </c>
      <c r="B26" s="523" t="str">
        <f>IF('Liste besondere Wohnformen'!B27="","",'Liste besondere Wohnformen'!B27)</f>
        <v/>
      </c>
      <c r="C26" s="524"/>
      <c r="D26" s="524"/>
      <c r="E26" s="303"/>
      <c r="F26" s="17" t="str">
        <f>IF(E26="","",E26*'PK Zusammenfassung'!$O$6)</f>
        <v/>
      </c>
      <c r="G26" s="17" t="str">
        <f t="shared" si="4"/>
        <v/>
      </c>
      <c r="H26" s="230" t="str">
        <f>IF('Liste besondere Wohnformen'!C27="","",'Liste besondere Wohnformen'!C27)</f>
        <v/>
      </c>
      <c r="I26" s="411" t="str">
        <f t="shared" si="1"/>
        <v/>
      </c>
      <c r="J26" s="25" t="str">
        <f t="shared" si="2"/>
        <v/>
      </c>
    </row>
    <row r="27" spans="1:10" x14ac:dyDescent="0.25">
      <c r="A27" s="410">
        <f t="shared" si="3"/>
        <v>23</v>
      </c>
      <c r="B27" s="523" t="str">
        <f>IF('Liste besondere Wohnformen'!B28="","",'Liste besondere Wohnformen'!B28)</f>
        <v/>
      </c>
      <c r="C27" s="524"/>
      <c r="D27" s="524"/>
      <c r="E27" s="303"/>
      <c r="F27" s="17" t="str">
        <f>IF(E27="","",E27*'PK Zusammenfassung'!$O$6)</f>
        <v/>
      </c>
      <c r="G27" s="17" t="str">
        <f t="shared" si="4"/>
        <v/>
      </c>
      <c r="H27" s="230" t="str">
        <f>IF('Liste besondere Wohnformen'!C28="","",'Liste besondere Wohnformen'!C28)</f>
        <v/>
      </c>
      <c r="I27" s="411" t="str">
        <f t="shared" si="1"/>
        <v/>
      </c>
      <c r="J27" s="25" t="str">
        <f t="shared" si="2"/>
        <v/>
      </c>
    </row>
    <row r="28" spans="1:10" x14ac:dyDescent="0.25">
      <c r="A28" s="410">
        <f t="shared" si="3"/>
        <v>24</v>
      </c>
      <c r="B28" s="523" t="str">
        <f>IF('Liste besondere Wohnformen'!B29="","",'Liste besondere Wohnformen'!B29)</f>
        <v/>
      </c>
      <c r="C28" s="524"/>
      <c r="D28" s="524"/>
      <c r="E28" s="303"/>
      <c r="F28" s="17" t="str">
        <f>IF(E28="","",E28*'PK Zusammenfassung'!$O$6)</f>
        <v/>
      </c>
      <c r="G28" s="17" t="str">
        <f t="shared" si="4"/>
        <v/>
      </c>
      <c r="H28" s="230" t="str">
        <f>IF('Liste besondere Wohnformen'!C29="","",'Liste besondere Wohnformen'!C29)</f>
        <v/>
      </c>
      <c r="I28" s="411" t="str">
        <f t="shared" si="1"/>
        <v/>
      </c>
      <c r="J28" s="25" t="str">
        <f t="shared" si="2"/>
        <v/>
      </c>
    </row>
    <row r="29" spans="1:10" x14ac:dyDescent="0.25">
      <c r="A29" s="410">
        <f t="shared" si="3"/>
        <v>25</v>
      </c>
      <c r="B29" s="523" t="str">
        <f>IF('Liste besondere Wohnformen'!B30="","",'Liste besondere Wohnformen'!B30)</f>
        <v/>
      </c>
      <c r="C29" s="524"/>
      <c r="D29" s="524"/>
      <c r="E29" s="303"/>
      <c r="F29" s="17" t="str">
        <f>IF(E29="","",E29*'PK Zusammenfassung'!$O$6)</f>
        <v/>
      </c>
      <c r="G29" s="17" t="str">
        <f t="shared" si="4"/>
        <v/>
      </c>
      <c r="H29" s="230" t="str">
        <f>IF('Liste besondere Wohnformen'!C30="","",'Liste besondere Wohnformen'!C30)</f>
        <v/>
      </c>
      <c r="I29" s="411" t="str">
        <f t="shared" si="1"/>
        <v/>
      </c>
      <c r="J29" s="25" t="str">
        <f t="shared" si="2"/>
        <v/>
      </c>
    </row>
    <row r="30" spans="1:10" x14ac:dyDescent="0.25">
      <c r="A30" s="410">
        <f t="shared" si="3"/>
        <v>26</v>
      </c>
      <c r="B30" s="523" t="str">
        <f>IF('Liste besondere Wohnformen'!B31="","",'Liste besondere Wohnformen'!B31)</f>
        <v/>
      </c>
      <c r="C30" s="524"/>
      <c r="D30" s="524"/>
      <c r="E30" s="303"/>
      <c r="F30" s="17" t="str">
        <f>IF(E30="","",E30*'PK Zusammenfassung'!$O$6)</f>
        <v/>
      </c>
      <c r="G30" s="17" t="str">
        <f t="shared" ref="G30:G39" si="5">IF(F30="","",ROUND(F30*60,0))</f>
        <v/>
      </c>
      <c r="H30" s="230" t="str">
        <f>IF('Liste besondere Wohnformen'!C31="","",'Liste besondere Wohnformen'!C31)</f>
        <v/>
      </c>
      <c r="I30" s="411" t="str">
        <f t="shared" ref="I30:I39" si="6">IF(E30="","",ROUND(G30/H30/365*7,0))</f>
        <v/>
      </c>
      <c r="J30" s="25" t="str">
        <f t="shared" si="2"/>
        <v/>
      </c>
    </row>
    <row r="31" spans="1:10" x14ac:dyDescent="0.25">
      <c r="A31" s="410">
        <f t="shared" si="3"/>
        <v>27</v>
      </c>
      <c r="B31" s="523" t="str">
        <f>IF('Liste besondere Wohnformen'!B32="","",'Liste besondere Wohnformen'!B32)</f>
        <v/>
      </c>
      <c r="C31" s="524"/>
      <c r="D31" s="524"/>
      <c r="E31" s="303"/>
      <c r="F31" s="17" t="str">
        <f>IF(E31="","",E31*'PK Zusammenfassung'!$O$6)</f>
        <v/>
      </c>
      <c r="G31" s="17" t="str">
        <f t="shared" si="5"/>
        <v/>
      </c>
      <c r="H31" s="230" t="str">
        <f>IF('Liste besondere Wohnformen'!C32="","",'Liste besondere Wohnformen'!C32)</f>
        <v/>
      </c>
      <c r="I31" s="411" t="str">
        <f t="shared" si="6"/>
        <v/>
      </c>
      <c r="J31" s="25" t="str">
        <f t="shared" si="2"/>
        <v/>
      </c>
    </row>
    <row r="32" spans="1:10" x14ac:dyDescent="0.25">
      <c r="A32" s="410">
        <f t="shared" si="3"/>
        <v>28</v>
      </c>
      <c r="B32" s="523" t="str">
        <f>IF('Liste besondere Wohnformen'!B33="","",'Liste besondere Wohnformen'!B33)</f>
        <v/>
      </c>
      <c r="C32" s="524"/>
      <c r="D32" s="524"/>
      <c r="E32" s="303"/>
      <c r="F32" s="17" t="str">
        <f>IF(E32="","",E32*'PK Zusammenfassung'!$O$6)</f>
        <v/>
      </c>
      <c r="G32" s="17" t="str">
        <f t="shared" si="5"/>
        <v/>
      </c>
      <c r="H32" s="230" t="str">
        <f>IF('Liste besondere Wohnformen'!C33="","",'Liste besondere Wohnformen'!C33)</f>
        <v/>
      </c>
      <c r="I32" s="411" t="str">
        <f t="shared" si="6"/>
        <v/>
      </c>
      <c r="J32" s="25" t="str">
        <f t="shared" si="2"/>
        <v/>
      </c>
    </row>
    <row r="33" spans="1:10" x14ac:dyDescent="0.25">
      <c r="A33" s="410">
        <f t="shared" si="3"/>
        <v>29</v>
      </c>
      <c r="B33" s="523" t="str">
        <f>IF('Liste besondere Wohnformen'!B34="","",'Liste besondere Wohnformen'!B34)</f>
        <v/>
      </c>
      <c r="C33" s="524"/>
      <c r="D33" s="524"/>
      <c r="E33" s="303"/>
      <c r="F33" s="17" t="str">
        <f>IF(E33="","",E33*'PK Zusammenfassung'!$O$6)</f>
        <v/>
      </c>
      <c r="G33" s="17" t="str">
        <f t="shared" si="5"/>
        <v/>
      </c>
      <c r="H33" s="230" t="str">
        <f>IF('Liste besondere Wohnformen'!C34="","",'Liste besondere Wohnformen'!C34)</f>
        <v/>
      </c>
      <c r="I33" s="411" t="str">
        <f t="shared" si="6"/>
        <v/>
      </c>
      <c r="J33" s="25" t="str">
        <f t="shared" si="2"/>
        <v/>
      </c>
    </row>
    <row r="34" spans="1:10" x14ac:dyDescent="0.25">
      <c r="A34" s="410">
        <f t="shared" si="3"/>
        <v>30</v>
      </c>
      <c r="B34" s="523" t="str">
        <f>IF('Liste besondere Wohnformen'!B35="","",'Liste besondere Wohnformen'!B35)</f>
        <v/>
      </c>
      <c r="C34" s="524"/>
      <c r="D34" s="524"/>
      <c r="E34" s="303"/>
      <c r="F34" s="17" t="str">
        <f>IF(E34="","",E34*'PK Zusammenfassung'!$O$6)</f>
        <v/>
      </c>
      <c r="G34" s="17" t="str">
        <f t="shared" si="5"/>
        <v/>
      </c>
      <c r="H34" s="230" t="str">
        <f>IF('Liste besondere Wohnformen'!C35="","",'Liste besondere Wohnformen'!C35)</f>
        <v/>
      </c>
      <c r="I34" s="411" t="str">
        <f t="shared" si="6"/>
        <v/>
      </c>
      <c r="J34" s="25" t="str">
        <f t="shared" si="2"/>
        <v/>
      </c>
    </row>
    <row r="35" spans="1:10" x14ac:dyDescent="0.25">
      <c r="A35" s="410">
        <f t="shared" si="3"/>
        <v>31</v>
      </c>
      <c r="B35" s="523" t="str">
        <f>IF('Liste besondere Wohnformen'!B36="","",'Liste besondere Wohnformen'!B36)</f>
        <v/>
      </c>
      <c r="C35" s="524"/>
      <c r="D35" s="524"/>
      <c r="E35" s="303"/>
      <c r="F35" s="17" t="str">
        <f>IF(E35="","",E35*'PK Zusammenfassung'!$O$6)</f>
        <v/>
      </c>
      <c r="G35" s="17" t="str">
        <f t="shared" si="5"/>
        <v/>
      </c>
      <c r="H35" s="230" t="str">
        <f>IF('Liste besondere Wohnformen'!C36="","",'Liste besondere Wohnformen'!C36)</f>
        <v/>
      </c>
      <c r="I35" s="411" t="str">
        <f t="shared" si="6"/>
        <v/>
      </c>
      <c r="J35" s="25" t="str">
        <f t="shared" si="2"/>
        <v/>
      </c>
    </row>
    <row r="36" spans="1:10" x14ac:dyDescent="0.25">
      <c r="A36" s="410">
        <f t="shared" si="3"/>
        <v>32</v>
      </c>
      <c r="B36" s="523" t="str">
        <f>IF('Liste besondere Wohnformen'!B37="","",'Liste besondere Wohnformen'!B37)</f>
        <v/>
      </c>
      <c r="C36" s="524"/>
      <c r="D36" s="524"/>
      <c r="E36" s="303"/>
      <c r="F36" s="17" t="str">
        <f>IF(E36="","",E36*'PK Zusammenfassung'!$O$6)</f>
        <v/>
      </c>
      <c r="G36" s="17" t="str">
        <f t="shared" si="5"/>
        <v/>
      </c>
      <c r="H36" s="230" t="str">
        <f>IF('Liste besondere Wohnformen'!C37="","",'Liste besondere Wohnformen'!C37)</f>
        <v/>
      </c>
      <c r="I36" s="411" t="str">
        <f t="shared" si="6"/>
        <v/>
      </c>
      <c r="J36" s="25" t="str">
        <f t="shared" si="2"/>
        <v/>
      </c>
    </row>
    <row r="37" spans="1:10" x14ac:dyDescent="0.25">
      <c r="A37" s="410">
        <f t="shared" si="3"/>
        <v>33</v>
      </c>
      <c r="B37" s="523" t="str">
        <f>IF('Liste besondere Wohnformen'!B38="","",'Liste besondere Wohnformen'!B38)</f>
        <v/>
      </c>
      <c r="C37" s="524"/>
      <c r="D37" s="524"/>
      <c r="E37" s="303"/>
      <c r="F37" s="17" t="str">
        <f>IF(E37="","",E37*'PK Zusammenfassung'!$O$6)</f>
        <v/>
      </c>
      <c r="G37" s="17" t="str">
        <f t="shared" si="5"/>
        <v/>
      </c>
      <c r="H37" s="230" t="str">
        <f>IF('Liste besondere Wohnformen'!C38="","",'Liste besondere Wohnformen'!C38)</f>
        <v/>
      </c>
      <c r="I37" s="411" t="str">
        <f t="shared" si="6"/>
        <v/>
      </c>
      <c r="J37" s="25" t="str">
        <f t="shared" si="2"/>
        <v/>
      </c>
    </row>
    <row r="38" spans="1:10" x14ac:dyDescent="0.25">
      <c r="A38" s="410">
        <f t="shared" si="3"/>
        <v>34</v>
      </c>
      <c r="B38" s="523" t="str">
        <f>IF('Liste besondere Wohnformen'!B39="","",'Liste besondere Wohnformen'!B39)</f>
        <v/>
      </c>
      <c r="C38" s="524"/>
      <c r="D38" s="524"/>
      <c r="E38" s="303"/>
      <c r="F38" s="17" t="str">
        <f>IF(E38="","",E38*'PK Zusammenfassung'!$O$6)</f>
        <v/>
      </c>
      <c r="G38" s="17" t="str">
        <f t="shared" si="5"/>
        <v/>
      </c>
      <c r="H38" s="230" t="str">
        <f>IF('Liste besondere Wohnformen'!C39="","",'Liste besondere Wohnformen'!C39)</f>
        <v/>
      </c>
      <c r="I38" s="411" t="str">
        <f t="shared" si="6"/>
        <v/>
      </c>
      <c r="J38" s="25" t="str">
        <f t="shared" si="2"/>
        <v/>
      </c>
    </row>
    <row r="39" spans="1:10" x14ac:dyDescent="0.25">
      <c r="A39" s="410">
        <f t="shared" si="3"/>
        <v>35</v>
      </c>
      <c r="B39" s="523" t="str">
        <f>IF('Liste besondere Wohnformen'!B40="","",'Liste besondere Wohnformen'!B40)</f>
        <v/>
      </c>
      <c r="C39" s="524"/>
      <c r="D39" s="524"/>
      <c r="E39" s="303"/>
      <c r="F39" s="17" t="str">
        <f>IF(E39="","",E39*'PK Zusammenfassung'!$O$6)</f>
        <v/>
      </c>
      <c r="G39" s="17" t="str">
        <f t="shared" si="5"/>
        <v/>
      </c>
      <c r="H39" s="230" t="str">
        <f>IF('Liste besondere Wohnformen'!C40="","",'Liste besondere Wohnformen'!C40)</f>
        <v/>
      </c>
      <c r="I39" s="411" t="str">
        <f t="shared" si="6"/>
        <v/>
      </c>
      <c r="J39" s="25" t="str">
        <f t="shared" si="2"/>
        <v/>
      </c>
    </row>
    <row r="40" spans="1:10" x14ac:dyDescent="0.25">
      <c r="A40" s="410">
        <f t="shared" si="3"/>
        <v>36</v>
      </c>
      <c r="B40" s="523" t="str">
        <f>IF('Liste besondere Wohnformen'!B41="","",'Liste besondere Wohnformen'!B41)</f>
        <v/>
      </c>
      <c r="C40" s="524"/>
      <c r="D40" s="524"/>
      <c r="E40" s="303"/>
      <c r="F40" s="17" t="str">
        <f>IF(E40="","",E40*'PK Zusammenfassung'!$O$6)</f>
        <v/>
      </c>
      <c r="G40" s="17" t="str">
        <f t="shared" ref="G40:G44" si="7">IF(F40="","",ROUND(F40*60,0))</f>
        <v/>
      </c>
      <c r="H40" s="230" t="str">
        <f>IF('Liste besondere Wohnformen'!C41="","",'Liste besondere Wohnformen'!C41)</f>
        <v/>
      </c>
      <c r="I40" s="411" t="str">
        <f t="shared" ref="I40:I44" si="8">IF(E40="","",ROUND(G40/H40/365*7,0))</f>
        <v/>
      </c>
      <c r="J40" s="25" t="str">
        <f t="shared" si="2"/>
        <v/>
      </c>
    </row>
    <row r="41" spans="1:10" x14ac:dyDescent="0.25">
      <c r="A41" s="410">
        <f t="shared" si="3"/>
        <v>37</v>
      </c>
      <c r="B41" s="523" t="str">
        <f>IF('Liste besondere Wohnformen'!B42="","",'Liste besondere Wohnformen'!B42)</f>
        <v/>
      </c>
      <c r="C41" s="524"/>
      <c r="D41" s="524"/>
      <c r="E41" s="303"/>
      <c r="F41" s="17" t="str">
        <f>IF(E41="","",E41*'PK Zusammenfassung'!$O$6)</f>
        <v/>
      </c>
      <c r="G41" s="17" t="str">
        <f t="shared" si="7"/>
        <v/>
      </c>
      <c r="H41" s="230" t="str">
        <f>IF('Liste besondere Wohnformen'!C42="","",'Liste besondere Wohnformen'!C42)</f>
        <v/>
      </c>
      <c r="I41" s="411" t="str">
        <f t="shared" si="8"/>
        <v/>
      </c>
      <c r="J41" s="25" t="str">
        <f t="shared" si="2"/>
        <v/>
      </c>
    </row>
    <row r="42" spans="1:10" x14ac:dyDescent="0.25">
      <c r="A42" s="410">
        <f t="shared" si="3"/>
        <v>38</v>
      </c>
      <c r="B42" s="523" t="str">
        <f>IF('Liste besondere Wohnformen'!B43="","",'Liste besondere Wohnformen'!B43)</f>
        <v/>
      </c>
      <c r="C42" s="524"/>
      <c r="D42" s="524"/>
      <c r="E42" s="303"/>
      <c r="F42" s="17" t="str">
        <f>IF(E42="","",E42*'PK Zusammenfassung'!$O$6)</f>
        <v/>
      </c>
      <c r="G42" s="17" t="str">
        <f t="shared" si="7"/>
        <v/>
      </c>
      <c r="H42" s="230" t="str">
        <f>IF('Liste besondere Wohnformen'!C43="","",'Liste besondere Wohnformen'!C43)</f>
        <v/>
      </c>
      <c r="I42" s="411" t="str">
        <f t="shared" si="8"/>
        <v/>
      </c>
      <c r="J42" s="25" t="str">
        <f t="shared" si="2"/>
        <v/>
      </c>
    </row>
    <row r="43" spans="1:10" x14ac:dyDescent="0.25">
      <c r="A43" s="410">
        <f t="shared" si="3"/>
        <v>39</v>
      </c>
      <c r="B43" s="523" t="str">
        <f>IF('Liste besondere Wohnformen'!B44="","",'Liste besondere Wohnformen'!B44)</f>
        <v/>
      </c>
      <c r="C43" s="524"/>
      <c r="D43" s="524"/>
      <c r="E43" s="303"/>
      <c r="F43" s="17" t="str">
        <f>IF(E43="","",E43*'PK Zusammenfassung'!$O$6)</f>
        <v/>
      </c>
      <c r="G43" s="17" t="str">
        <f t="shared" si="7"/>
        <v/>
      </c>
      <c r="H43" s="230" t="str">
        <f>IF('Liste besondere Wohnformen'!C44="","",'Liste besondere Wohnformen'!C44)</f>
        <v/>
      </c>
      <c r="I43" s="411" t="str">
        <f t="shared" si="8"/>
        <v/>
      </c>
      <c r="J43" s="25" t="str">
        <f t="shared" si="2"/>
        <v/>
      </c>
    </row>
    <row r="44" spans="1:10" x14ac:dyDescent="0.25">
      <c r="A44" s="410">
        <f t="shared" si="3"/>
        <v>40</v>
      </c>
      <c r="B44" s="523" t="str">
        <f>IF('Liste besondere Wohnformen'!B45="","",'Liste besondere Wohnformen'!B45)</f>
        <v/>
      </c>
      <c r="C44" s="524"/>
      <c r="D44" s="524"/>
      <c r="E44" s="303"/>
      <c r="F44" s="17" t="str">
        <f>IF(E44="","",E44*'PK Zusammenfassung'!$O$6)</f>
        <v/>
      </c>
      <c r="G44" s="17" t="str">
        <f t="shared" si="7"/>
        <v/>
      </c>
      <c r="H44" s="230" t="str">
        <f>IF('Liste besondere Wohnformen'!C45="","",'Liste besondere Wohnformen'!C45)</f>
        <v/>
      </c>
      <c r="I44" s="411" t="str">
        <f t="shared" si="8"/>
        <v/>
      </c>
      <c r="J44" s="25" t="str">
        <f t="shared" si="2"/>
        <v/>
      </c>
    </row>
  </sheetData>
  <sheetProtection algorithmName="SHA-512" hashValue="S4FipIeYp28lfdZgvSNP0plAOYdQ0K1XxOcba3sNn5Y1WzK79hFhp6xb8DB5mNKNGUpiu/9VtlVQwiOV76cNZg==" saltValue="cjsLkk8prcM8Nl+Jp3CTTg==" spinCount="100000" sheet="1" objects="1" scenarios="1" formatCells="0"/>
  <mergeCells count="43">
    <mergeCell ref="B40:D40"/>
    <mergeCell ref="B41:D41"/>
    <mergeCell ref="B42:D42"/>
    <mergeCell ref="B43:D43"/>
    <mergeCell ref="B44:D44"/>
    <mergeCell ref="B28:D28"/>
    <mergeCell ref="B29:D29"/>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A1:J1"/>
    <mergeCell ref="B9:D9"/>
    <mergeCell ref="B10:D10"/>
    <mergeCell ref="B11:D11"/>
    <mergeCell ref="B12:D12"/>
    <mergeCell ref="B3:J3"/>
    <mergeCell ref="B4:D4"/>
    <mergeCell ref="B5:D5"/>
    <mergeCell ref="B6:D6"/>
    <mergeCell ref="B7:D7"/>
    <mergeCell ref="B8:D8"/>
    <mergeCell ref="B30:D30"/>
    <mergeCell ref="B31:D31"/>
    <mergeCell ref="B32:D32"/>
    <mergeCell ref="B33:D33"/>
    <mergeCell ref="B34:D34"/>
    <mergeCell ref="B35:D35"/>
    <mergeCell ref="B36:D36"/>
    <mergeCell ref="B37:D37"/>
    <mergeCell ref="B38:D38"/>
    <mergeCell ref="B39:D39"/>
  </mergeCells>
  <pageMargins left="0.7" right="0.7" top="0.78740157499999996" bottom="0.78740157499999996" header="0.3" footer="0.3"/>
  <pageSetup paperSize="9" scale="81" fitToHeight="0" orientation="landscape" r:id="rId1"/>
  <headerFooter>
    <oddFooter>&amp;L&amp;"Arial,Standard"&amp;8Datum des Ausdrucks
&amp;D&amp;C&amp;"Arial,Standard"&amp;8Kalkulationsdatei Assistenzleistungen 
Rahmenvertrag 3 Version 1.0&amp;R&amp;"Arial,Standard"&amp;8 Hauswirtschaftspauschale
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vt:i4>
      </vt:variant>
    </vt:vector>
  </HeadingPairs>
  <TitlesOfParts>
    <vt:vector size="16" baseType="lpstr">
      <vt:lpstr>Kalkulationsblatt</vt:lpstr>
      <vt:lpstr>PK Zusammenfassung</vt:lpstr>
      <vt:lpstr>PK AN-Brutto qA</vt:lpstr>
      <vt:lpstr>PK AN-Brutto kA</vt:lpstr>
      <vt:lpstr>PK Zeitzuschläge qA</vt:lpstr>
      <vt:lpstr>PK Zeitzuschläge kA</vt:lpstr>
      <vt:lpstr>PK AG_Brutto</vt:lpstr>
      <vt:lpstr>Liste besondere Wohnformen</vt:lpstr>
      <vt:lpstr>Hauswirtschaftspauschale</vt:lpstr>
      <vt:lpstr>Bereitschaftspauschale</vt:lpstr>
      <vt:lpstr>Sachkosten</vt:lpstr>
      <vt:lpstr>Externer Wirtschaftsdienst</vt:lpstr>
      <vt:lpstr>Investitionskostenaufstellung</vt:lpstr>
      <vt:lpstr>ergänzende Hinweise</vt:lpstr>
      <vt:lpstr>'Externer Wirtschaftsdienst'!Druckbereich</vt:lpstr>
      <vt:lpstr>'Externer Wirtschaftsdienst'!Print_Area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Hißnauer, Stefan (bpa)</dc:creator>
  <cp:lastModifiedBy>Schaumburg-Reis, Petra</cp:lastModifiedBy>
  <cp:lastPrinted>2023-02-09T11:58:19Z</cp:lastPrinted>
  <dcterms:created xsi:type="dcterms:W3CDTF">2022-07-25T11:38:20Z</dcterms:created>
  <dcterms:modified xsi:type="dcterms:W3CDTF">2025-09-03T08:04:52Z</dcterms:modified>
</cp:coreProperties>
</file>